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726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alexa\Documents\PERRIERA\FICHIERS CALCUL\"/>
    </mc:Choice>
  </mc:AlternateContent>
  <xr:revisionPtr revIDLastSave="0" documentId="13_ncr:1_{80289513-997A-499C-BCCC-60AEF9D580B2}" xr6:coauthVersionLast="47" xr6:coauthVersionMax="47" xr10:uidLastSave="{00000000-0000-0000-0000-000000000000}"/>
  <bookViews>
    <workbookView xWindow="-120" yWindow="-120" windowWidth="38640" windowHeight="21240" xr2:uid="{1165F4B3-3E9D-4C96-A842-F5CD4576AEF9}"/>
  </bookViews>
  <sheets>
    <sheet name="Arrachement" sheetId="1" r:id="rId1"/>
  </sheets>
  <definedNames>
    <definedName name="_C1">Arrachement!$C$29</definedName>
    <definedName name="_C2">Arrachement!$C$31</definedName>
    <definedName name="_C3">Arrachement!$C$32</definedName>
    <definedName name="_D2_max">Arrachement!$C$63</definedName>
    <definedName name="_D2_min">Arrachement!$C$62</definedName>
    <definedName name="_D2_moy">Arrachement!$C$64</definedName>
    <definedName name="_TD2">Arrachement!$C$48</definedName>
    <definedName name="As_nom">Arrachement!$C$66</definedName>
    <definedName name="Asb">Arrachement!$C$23</definedName>
    <definedName name="Ast">Arrachement!$C$24</definedName>
    <definedName name="Cq_vis">Arrachement!$B$8</definedName>
    <definedName name="d">Arrachement!$C$3</definedName>
    <definedName name="d_max">Arrachement!$C$51</definedName>
    <definedName name="d_min">Arrachement!$C$50</definedName>
    <definedName name="d_moy">Arrachement!$C$52</definedName>
    <definedName name="D1_d1">Arrachement!$C$44</definedName>
    <definedName name="D1_max">Arrachement!$C$59</definedName>
    <definedName name="D1_min">Arrachement!$C$58</definedName>
    <definedName name="D1_moy">Arrachement!$C$60</definedName>
    <definedName name="d2_D2">Arrachement!$C$41</definedName>
    <definedName name="d2_max">Arrachement!$C$55</definedName>
    <definedName name="d2_min">Arrachement!$C$54</definedName>
    <definedName name="d2_moy">Arrachement!$C$56</definedName>
    <definedName name="d3_">Arrachement!$C$43</definedName>
    <definedName name="Da">Arrachement!$C$12</definedName>
    <definedName name="EI">Arrachement!$C$45</definedName>
    <definedName name="ES">Arrachement!$C$40</definedName>
    <definedName name="et">Arrachement!$B$11</definedName>
    <definedName name="ev">Arrachement!$B$7</definedName>
    <definedName name="kt">Arrachement!$C$38</definedName>
    <definedName name="kv">Arrachement!$C$37</definedName>
    <definedName name="Lt_eff">Arrachement!$C$15</definedName>
    <definedName name="P">Arrachement!$C$5</definedName>
    <definedName name="p_bis">Arrachement!#REF!</definedName>
    <definedName name="qf">Arrachement!$D$10</definedName>
    <definedName name="qft">Arrachement!$B$10</definedName>
    <definedName name="qfv">Arrachement!$B$6</definedName>
    <definedName name="Re_vis">Arrachement!$C$34</definedName>
    <definedName name="Rm_t">Arrachement!$C$13</definedName>
    <definedName name="Rm_vis">Arrachement!$C$35</definedName>
    <definedName name="RꞆ">Arrachement!$C$30</definedName>
    <definedName name="Ꞇb">Arrachement!$C$26</definedName>
    <definedName name="Td">Arrachement!$C$39</definedName>
    <definedName name="TD1_">Arrachement!$C$46</definedName>
    <definedName name="Td2_">Arrachement!$C$42</definedName>
    <definedName name="Ꞇt">Arrachement!$C$27</definedName>
  </definedNames>
  <calcPr calcId="191029" refMode="R1C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96" i="1" l="1"/>
  <c r="D96" i="1"/>
  <c r="C45" i="1"/>
  <c r="C38" i="1" l="1"/>
  <c r="C37" i="1"/>
  <c r="C29" i="1"/>
  <c r="C27" i="1"/>
  <c r="C35" i="1"/>
  <c r="C34" i="1"/>
  <c r="C5" i="1"/>
  <c r="C41" i="1" l="1"/>
  <c r="C40" i="1"/>
  <c r="C44" i="1"/>
  <c r="C58" i="1" s="1"/>
  <c r="C43" i="1"/>
  <c r="C48" i="1"/>
  <c r="C39" i="1"/>
  <c r="C46" i="1"/>
  <c r="C42" i="1"/>
  <c r="C26" i="1"/>
  <c r="C54" i="1" l="1"/>
  <c r="C50" i="1"/>
  <c r="C51" i="1"/>
  <c r="C47" i="1"/>
  <c r="C66" i="1"/>
  <c r="C17" i="1" s="1"/>
  <c r="C55" i="1"/>
  <c r="C52" i="1" l="1"/>
  <c r="C56" i="1"/>
  <c r="C62" i="1"/>
  <c r="C59" i="1" l="1"/>
  <c r="C23" i="1" s="1"/>
  <c r="C63" i="1"/>
  <c r="C64" i="1" l="1"/>
  <c r="C24" i="1"/>
  <c r="C60" i="1"/>
  <c r="C30" i="1" l="1"/>
  <c r="C32" i="1" l="1"/>
  <c r="C19" i="1" s="1"/>
  <c r="C31" i="1"/>
  <c r="C18" i="1" s="1"/>
  <c r="A21" i="1" l="1"/>
  <c r="A20" i="1"/>
</calcChain>
</file>

<file path=xl/sharedStrings.xml><?xml version="1.0" encoding="utf-8"?>
<sst xmlns="http://schemas.openxmlformats.org/spreadsheetml/2006/main" count="164" uniqueCount="118">
  <si>
    <t>d</t>
  </si>
  <si>
    <t>P</t>
  </si>
  <si>
    <t>d3</t>
  </si>
  <si>
    <t>Diamètre nominal</t>
  </si>
  <si>
    <t>mm</t>
  </si>
  <si>
    <t>Pas</t>
  </si>
  <si>
    <t>Qualité pour le filetage</t>
  </si>
  <si>
    <t>Position de la tolérance</t>
  </si>
  <si>
    <t>g</t>
  </si>
  <si>
    <t>Classe de qualité</t>
  </si>
  <si>
    <t>Lt_eff</t>
  </si>
  <si>
    <t>H</t>
  </si>
  <si>
    <t>N/mm²</t>
  </si>
  <si>
    <t>Minimum de matière autour du taraudage</t>
  </si>
  <si>
    <t>Da</t>
  </si>
  <si>
    <t>8.8</t>
  </si>
  <si>
    <t>10.9</t>
  </si>
  <si>
    <t>12.9</t>
  </si>
  <si>
    <t>Re_vis</t>
  </si>
  <si>
    <t>Rm_vis</t>
  </si>
  <si>
    <t>Cq_vis</t>
  </si>
  <si>
    <t>Pas gros</t>
  </si>
  <si>
    <t>Pas fin</t>
  </si>
  <si>
    <t>Rm_t</t>
  </si>
  <si>
    <t>Type de pas</t>
  </si>
  <si>
    <t xml:space="preserve">  </t>
  </si>
  <si>
    <t>Section résistante nominale</t>
  </si>
  <si>
    <t>As_nom</t>
  </si>
  <si>
    <t>Résistance maximale à la traction de la vis (min)</t>
  </si>
  <si>
    <t>Limite d'élasticité de la vis (min)</t>
  </si>
  <si>
    <t>mm²</t>
  </si>
  <si>
    <t>Charge de défaillance minimale de la vis</t>
  </si>
  <si>
    <t>Charge de défaillance minimale des filets de la vis</t>
  </si>
  <si>
    <t>Charge de défaillance minimale des filets du taraudage</t>
  </si>
  <si>
    <t>RESULTAT</t>
  </si>
  <si>
    <t>Fm_min_vis</t>
  </si>
  <si>
    <t>Coefficient pour le calcul des tolérances de la vis</t>
  </si>
  <si>
    <t>Coefficient pour le calcul des tolérances du taraudage</t>
  </si>
  <si>
    <t xml:space="preserve">Tolérance sur le diamètre extérieur de la vis </t>
  </si>
  <si>
    <t>Ecart inférieur pour la tolérance de la vis</t>
  </si>
  <si>
    <t>Diamètre sur flanc de la vis</t>
  </si>
  <si>
    <t>Tolérance sur le diamètre sur flanc de la vis</t>
  </si>
  <si>
    <t>Diamètre à fond de filet de la vis</t>
  </si>
  <si>
    <t>Diamètre intérieur de l'écrou (diamètre de perçage)</t>
  </si>
  <si>
    <t>Ecart supérieur pour la tolérance du taraudage</t>
  </si>
  <si>
    <t>Tolérance sur le diamètre intérieur du taraudage</t>
  </si>
  <si>
    <t>Diamètre intérieur sur flancs du taraudage</t>
  </si>
  <si>
    <t>Tolérance sur le diamètre intérieur sur flancs du taraudage</t>
  </si>
  <si>
    <t>ES</t>
  </si>
  <si>
    <t>Td</t>
  </si>
  <si>
    <t>kt</t>
  </si>
  <si>
    <t>kv</t>
  </si>
  <si>
    <t>Td2</t>
  </si>
  <si>
    <t>EI</t>
  </si>
  <si>
    <t>TD1</t>
  </si>
  <si>
    <t>D2 = d2</t>
  </si>
  <si>
    <t>d2 = D2</t>
  </si>
  <si>
    <t>TD2</t>
  </si>
  <si>
    <t>Diamètre extérieur de la vis min</t>
  </si>
  <si>
    <t>Diamètre extérieur de la vis max</t>
  </si>
  <si>
    <t>Diamètre extérieur de la vis moy</t>
  </si>
  <si>
    <t>d_min</t>
  </si>
  <si>
    <t>d_max</t>
  </si>
  <si>
    <t>d_moy</t>
  </si>
  <si>
    <t>Diamètre sur flanc de la vis min</t>
  </si>
  <si>
    <t>Diamètre sur flanc de la vis max</t>
  </si>
  <si>
    <t>Diamètre sur flanc de la vis moy</t>
  </si>
  <si>
    <t>d2_min</t>
  </si>
  <si>
    <t>d2_max</t>
  </si>
  <si>
    <t>d2_moy</t>
  </si>
  <si>
    <t>Diamètre intérieur du taraudage min</t>
  </si>
  <si>
    <t>Diamètre intérieur du taraudage max</t>
  </si>
  <si>
    <t>Diamètre intérieur du taraudage moy</t>
  </si>
  <si>
    <t>D1_min</t>
  </si>
  <si>
    <t>D1_max</t>
  </si>
  <si>
    <t>D1_moy</t>
  </si>
  <si>
    <t>Diamètre sur flanc du taraudage min</t>
  </si>
  <si>
    <t>Diamètre sur flanc du taraudage max</t>
  </si>
  <si>
    <t>Diamètre sur flanc du taraudage moy</t>
  </si>
  <si>
    <t>D2_min</t>
  </si>
  <si>
    <t>D2_max</t>
  </si>
  <si>
    <t>D2_moy</t>
  </si>
  <si>
    <t>D1_d1</t>
  </si>
  <si>
    <t>Section cisaillée des filets de la vis</t>
  </si>
  <si>
    <t>Section cisaillée des filets du taraudage</t>
  </si>
  <si>
    <t>Asb</t>
  </si>
  <si>
    <t>Ast</t>
  </si>
  <si>
    <t>facteur de dilatation du taraudage</t>
  </si>
  <si>
    <t>C1</t>
  </si>
  <si>
    <t>ratio de résistance</t>
  </si>
  <si>
    <t>facteur de flexion des filets de la vis</t>
  </si>
  <si>
    <t>facteur de flexion des filets du taraudage</t>
  </si>
  <si>
    <t>C3</t>
  </si>
  <si>
    <t>C2</t>
  </si>
  <si>
    <t>-</t>
  </si>
  <si>
    <t>Ꞇt</t>
  </si>
  <si>
    <t>Ꞇb</t>
  </si>
  <si>
    <t>Fsb_min</t>
  </si>
  <si>
    <t>Fst_min</t>
  </si>
  <si>
    <t>Résistance maximale à la traction du taraudage (min)</t>
  </si>
  <si>
    <t>Résistance des filets de la vis au cisaillement (rupture)</t>
  </si>
  <si>
    <t>Résistance des filets du taraudage au cisaillement (rupture)</t>
  </si>
  <si>
    <t>CALCULS</t>
  </si>
  <si>
    <t>DONNEES VIS</t>
  </si>
  <si>
    <t>DONNEES TARAUDAGE</t>
  </si>
  <si>
    <t>DONNEES ASSEMBLAGE</t>
  </si>
  <si>
    <t>qfv</t>
  </si>
  <si>
    <t>e</t>
  </si>
  <si>
    <t>h</t>
  </si>
  <si>
    <t>qft</t>
  </si>
  <si>
    <t>G</t>
  </si>
  <si>
    <r>
      <t>R</t>
    </r>
    <r>
      <rPr>
        <vertAlign val="subscript"/>
        <sz val="11"/>
        <color theme="1" tint="0.499984740745262"/>
        <rFont val="Calibri"/>
        <family val="2"/>
      </rPr>
      <t>Ꞇ</t>
    </r>
  </si>
  <si>
    <t>cellules à modifier</t>
  </si>
  <si>
    <t>N</t>
  </si>
  <si>
    <t>f</t>
  </si>
  <si>
    <t>CALCUL ARRACHEMENT DE FILETS - NF E 25030-2</t>
  </si>
  <si>
    <t>Longueur en prise effective</t>
  </si>
  <si>
    <t>Version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</si>
</sst>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00"/>
    <numFmt numFmtId="165" formatCode="0.0"/>
  </numFmts>
  <fonts count="12" x14ac:knownFonts="1">
    <font>
      <sz val="11"/>
      <color theme="1"/>
      <name val="Calibri"/>
      <family val="2"/>
      <scheme val="minor"/>
    </font>
    <font>
      <sz val="8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sz val="11"/>
      <color theme="1" tint="0.499984740745262"/>
      <name val="Calibri"/>
      <family val="2"/>
      <scheme val="minor"/>
    </font>
    <font>
      <sz val="11"/>
      <color theme="1" tint="0.499984740745262"/>
      <name val="Calibri"/>
      <family val="2"/>
    </font>
    <font>
      <vertAlign val="subscript"/>
      <sz val="11"/>
      <color theme="1" tint="0.499984740745262"/>
      <name val="Calibri"/>
      <family val="2"/>
    </font>
    <font>
      <sz val="10"/>
      <color theme="1" tint="0.499984740745262"/>
      <name val="Arial"/>
      <family val="2"/>
    </font>
    <font>
      <b/>
      <sz val="10"/>
      <color theme="1" tint="0.499984740745262"/>
      <name val="Arial"/>
      <family val="2"/>
    </font>
    <font>
      <sz val="10"/>
      <color theme="1"/>
      <name val="Calibri"/>
      <family val="2"/>
      <scheme val="minor"/>
    </font>
    <font>
      <i/>
      <sz val="16"/>
      <color theme="1"/>
      <name val="Calibri"/>
      <family val="2"/>
      <scheme val="minor"/>
    </font>
    <font>
      <b/>
      <i/>
      <sz val="14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5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72">
    <xf numFmtId="0" fontId="0" fillId="0" borderId="0" xfId="0"/>
    <xf numFmtId="0" fontId="0" fillId="0" borderId="0" xfId="0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 vertical="center"/>
    </xf>
    <xf numFmtId="0" fontId="0" fillId="4" borderId="1" xfId="0" applyFill="1" applyBorder="1" applyProtection="1"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1" xfId="0" applyFill="1" applyBorder="1" applyAlignment="1" applyProtection="1">
      <alignment horizontal="center"/>
      <protection locked="0"/>
    </xf>
    <xf numFmtId="0" fontId="0" fillId="4" borderId="2" xfId="0" applyFill="1" applyBorder="1" applyAlignment="1" applyProtection="1">
      <alignment horizontal="center"/>
      <protection locked="0"/>
    </xf>
    <xf numFmtId="0" fontId="0" fillId="4" borderId="3" xfId="0" applyFill="1" applyBorder="1" applyAlignment="1" applyProtection="1">
      <alignment horizontal="center"/>
      <protection locked="0"/>
    </xf>
    <xf numFmtId="0" fontId="0" fillId="4" borderId="4" xfId="0" applyFill="1" applyBorder="1" applyAlignment="1" applyProtection="1">
      <alignment horizontal="center"/>
      <protection locked="0"/>
    </xf>
    <xf numFmtId="0" fontId="2" fillId="3" borderId="8" xfId="0" applyFont="1" applyFill="1" applyBorder="1" applyAlignment="1" applyProtection="1">
      <alignment horizontal="center" vertical="center"/>
    </xf>
    <xf numFmtId="0" fontId="2" fillId="3" borderId="3" xfId="0" applyFont="1" applyFill="1" applyBorder="1" applyAlignment="1" applyProtection="1">
      <alignment horizontal="center" vertical="center"/>
    </xf>
    <xf numFmtId="0" fontId="3" fillId="2" borderId="0" xfId="0" applyFont="1" applyFill="1" applyAlignment="1" applyProtection="1">
      <alignment vertical="center"/>
    </xf>
    <xf numFmtId="0" fontId="3" fillId="2" borderId="19" xfId="0" applyFont="1" applyFill="1" applyBorder="1" applyAlignment="1" applyProtection="1">
      <alignment vertical="center"/>
    </xf>
    <xf numFmtId="0" fontId="0" fillId="0" borderId="18" xfId="0" applyBorder="1" applyProtection="1"/>
    <xf numFmtId="0" fontId="0" fillId="0" borderId="1" xfId="0" applyBorder="1" applyAlignment="1" applyProtection="1">
      <alignment horizontal="center"/>
    </xf>
    <xf numFmtId="1" fontId="0" fillId="0" borderId="1" xfId="0" applyNumberFormat="1" applyBorder="1" applyProtection="1"/>
    <xf numFmtId="0" fontId="0" fillId="0" borderId="1" xfId="0" applyBorder="1" applyAlignment="1" applyProtection="1">
      <alignment horizontal="left"/>
    </xf>
    <xf numFmtId="0" fontId="0" fillId="2" borderId="0" xfId="0" applyFill="1" applyProtection="1"/>
    <xf numFmtId="0" fontId="0" fillId="2" borderId="19" xfId="0" applyFill="1" applyBorder="1" applyProtection="1"/>
    <xf numFmtId="0" fontId="0" fillId="0" borderId="20" xfId="0" applyBorder="1" applyProtection="1"/>
    <xf numFmtId="0" fontId="0" fillId="0" borderId="9" xfId="0" applyBorder="1" applyAlignment="1" applyProtection="1">
      <alignment horizontal="center"/>
    </xf>
    <xf numFmtId="1" fontId="0" fillId="0" borderId="9" xfId="0" applyNumberFormat="1" applyBorder="1" applyProtection="1"/>
    <xf numFmtId="0" fontId="0" fillId="0" borderId="9" xfId="0" applyBorder="1" applyAlignment="1" applyProtection="1">
      <alignment horizontal="left"/>
    </xf>
    <xf numFmtId="0" fontId="10" fillId="2" borderId="10" xfId="0" applyFont="1" applyFill="1" applyBorder="1" applyAlignment="1" applyProtection="1">
      <alignment horizontal="center"/>
    </xf>
    <xf numFmtId="0" fontId="10" fillId="2" borderId="11" xfId="0" applyFont="1" applyFill="1" applyBorder="1" applyAlignment="1" applyProtection="1">
      <alignment horizontal="center"/>
    </xf>
    <xf numFmtId="0" fontId="10" fillId="2" borderId="12" xfId="0" applyFont="1" applyFill="1" applyBorder="1" applyAlignment="1" applyProtection="1">
      <alignment horizontal="center"/>
    </xf>
    <xf numFmtId="0" fontId="10" fillId="2" borderId="13" xfId="0" applyFont="1" applyFill="1" applyBorder="1" applyAlignment="1" applyProtection="1">
      <alignment horizontal="center"/>
    </xf>
    <xf numFmtId="0" fontId="10" fillId="2" borderId="14" xfId="0" applyFont="1" applyFill="1" applyBorder="1" applyAlignment="1" applyProtection="1">
      <alignment horizontal="center"/>
    </xf>
    <xf numFmtId="0" fontId="10" fillId="2" borderId="15" xfId="0" applyFont="1" applyFill="1" applyBorder="1" applyAlignment="1" applyProtection="1">
      <alignment horizontal="center"/>
    </xf>
    <xf numFmtId="0" fontId="0" fillId="2" borderId="14" xfId="0" applyFill="1" applyBorder="1" applyProtection="1"/>
    <xf numFmtId="0" fontId="0" fillId="2" borderId="15" xfId="0" applyFill="1" applyBorder="1" applyProtection="1"/>
    <xf numFmtId="0" fontId="4" fillId="0" borderId="2" xfId="0" applyFont="1" applyBorder="1" applyAlignment="1" applyProtection="1">
      <alignment horizontal="center"/>
    </xf>
    <xf numFmtId="0" fontId="4" fillId="0" borderId="3" xfId="0" applyFont="1" applyBorder="1" applyAlignment="1" applyProtection="1">
      <alignment horizontal="center"/>
    </xf>
    <xf numFmtId="0" fontId="4" fillId="0" borderId="4" xfId="0" applyFont="1" applyBorder="1" applyAlignment="1" applyProtection="1">
      <alignment horizontal="center"/>
    </xf>
    <xf numFmtId="0" fontId="0" fillId="0" borderId="0" xfId="0" applyProtection="1"/>
    <xf numFmtId="0" fontId="4" fillId="0" borderId="1" xfId="0" applyFont="1" applyBorder="1" applyProtection="1"/>
    <xf numFmtId="0" fontId="4" fillId="0" borderId="1" xfId="0" applyFont="1" applyBorder="1" applyAlignment="1" applyProtection="1">
      <alignment horizontal="center"/>
    </xf>
    <xf numFmtId="165" fontId="4" fillId="0" borderId="1" xfId="0" applyNumberFormat="1" applyFont="1" applyBorder="1" applyProtection="1"/>
    <xf numFmtId="0" fontId="4" fillId="0" borderId="1" xfId="0" applyFont="1" applyBorder="1" applyAlignment="1" applyProtection="1">
      <alignment horizontal="left"/>
    </xf>
    <xf numFmtId="0" fontId="4" fillId="0" borderId="0" xfId="0" applyFont="1" applyProtection="1"/>
    <xf numFmtId="0" fontId="4" fillId="0" borderId="0" xfId="0" applyFont="1" applyAlignment="1" applyProtection="1">
      <alignment horizontal="center"/>
    </xf>
    <xf numFmtId="164" fontId="4" fillId="0" borderId="0" xfId="0" applyNumberFormat="1" applyFont="1" applyProtection="1"/>
    <xf numFmtId="0" fontId="4" fillId="0" borderId="0" xfId="0" applyFont="1" applyAlignment="1" applyProtection="1">
      <alignment horizontal="left"/>
    </xf>
    <xf numFmtId="0" fontId="5" fillId="0" borderId="1" xfId="0" applyFont="1" applyBorder="1" applyAlignment="1" applyProtection="1">
      <alignment horizontal="center"/>
    </xf>
    <xf numFmtId="1" fontId="4" fillId="0" borderId="1" xfId="0" applyNumberFormat="1" applyFont="1" applyBorder="1" applyProtection="1"/>
    <xf numFmtId="2" fontId="4" fillId="0" borderId="1" xfId="0" applyNumberFormat="1" applyFont="1" applyBorder="1" applyProtection="1"/>
    <xf numFmtId="0" fontId="7" fillId="0" borderId="5" xfId="0" quotePrefix="1" applyFont="1" applyBorder="1" applyAlignment="1" applyProtection="1">
      <alignment horizontal="left" vertical="center"/>
    </xf>
    <xf numFmtId="0" fontId="7" fillId="0" borderId="6" xfId="0" quotePrefix="1" applyFont="1" applyBorder="1" applyAlignment="1" applyProtection="1">
      <alignment horizontal="center" vertical="center"/>
    </xf>
    <xf numFmtId="1" fontId="7" fillId="0" borderId="7" xfId="0" applyNumberFormat="1" applyFont="1" applyBorder="1" applyAlignment="1" applyProtection="1">
      <alignment horizontal="right" vertical="center"/>
    </xf>
    <xf numFmtId="0" fontId="7" fillId="0" borderId="1" xfId="0" quotePrefix="1" applyFont="1" applyBorder="1" applyAlignment="1" applyProtection="1">
      <alignment horizontal="left" vertical="center"/>
    </xf>
    <xf numFmtId="164" fontId="4" fillId="0" borderId="1" xfId="0" applyNumberFormat="1" applyFont="1" applyBorder="1" applyAlignment="1" applyProtection="1">
      <alignment horizontal="right"/>
    </xf>
    <xf numFmtId="0" fontId="7" fillId="0" borderId="2" xfId="0" quotePrefix="1" applyFont="1" applyBorder="1" applyAlignment="1" applyProtection="1">
      <alignment horizontal="left" vertical="center"/>
    </xf>
    <xf numFmtId="0" fontId="7" fillId="0" borderId="8" xfId="0" quotePrefix="1" applyFont="1" applyBorder="1" applyAlignment="1" applyProtection="1">
      <alignment horizontal="left" vertical="center"/>
    </xf>
    <xf numFmtId="0" fontId="7" fillId="0" borderId="8" xfId="0" applyFont="1" applyBorder="1" applyAlignment="1" applyProtection="1">
      <alignment horizontal="left" vertical="center"/>
    </xf>
    <xf numFmtId="0" fontId="7" fillId="0" borderId="0" xfId="0" quotePrefix="1" applyFont="1" applyAlignment="1" applyProtection="1">
      <alignment horizontal="left" vertical="center"/>
    </xf>
    <xf numFmtId="164" fontId="4" fillId="0" borderId="0" xfId="0" applyNumberFormat="1" applyFont="1" applyAlignment="1" applyProtection="1">
      <alignment horizontal="right"/>
    </xf>
    <xf numFmtId="164" fontId="4" fillId="0" borderId="1" xfId="0" applyNumberFormat="1" applyFont="1" applyBorder="1" applyProtection="1"/>
    <xf numFmtId="0" fontId="8" fillId="0" borderId="0" xfId="0" quotePrefix="1" applyFont="1" applyAlignment="1" applyProtection="1">
      <alignment horizontal="left" vertical="center"/>
    </xf>
    <xf numFmtId="0" fontId="0" fillId="0" borderId="0" xfId="0" applyAlignment="1" applyProtection="1">
      <alignment horizontal="center"/>
    </xf>
    <xf numFmtId="0" fontId="0" fillId="0" borderId="0" xfId="0" applyAlignment="1" applyProtection="1">
      <alignment horizontal="left"/>
    </xf>
    <xf numFmtId="14" fontId="0" fillId="0" borderId="0" xfId="0" applyNumberFormat="1" applyAlignment="1" applyProtection="1">
      <alignment horizontal="center"/>
    </xf>
    <xf numFmtId="0" fontId="4" fillId="0" borderId="1" xfId="0" applyFont="1" applyBorder="1" applyAlignment="1" applyProtection="1">
      <alignment wrapText="1"/>
    </xf>
    <xf numFmtId="0" fontId="7" fillId="0" borderId="1" xfId="0" applyFont="1" applyBorder="1" applyAlignment="1" applyProtection="1">
      <alignment horizontal="center" vertical="center" wrapText="1"/>
    </xf>
    <xf numFmtId="0" fontId="2" fillId="3" borderId="18" xfId="0" applyFont="1" applyFill="1" applyBorder="1" applyAlignment="1" applyProtection="1">
      <alignment horizontal="center" vertical="center"/>
    </xf>
    <xf numFmtId="0" fontId="2" fillId="3" borderId="1" xfId="0" applyFont="1" applyFill="1" applyBorder="1" applyAlignment="1" applyProtection="1">
      <alignment horizontal="center" vertical="center"/>
    </xf>
    <xf numFmtId="0" fontId="0" fillId="2" borderId="1" xfId="0" applyFill="1" applyBorder="1" applyAlignment="1" applyProtection="1">
      <alignment horizontal="center"/>
    </xf>
    <xf numFmtId="0" fontId="0" fillId="0" borderId="1" xfId="0" applyBorder="1" applyProtection="1"/>
    <xf numFmtId="0" fontId="11" fillId="5" borderId="16" xfId="0" applyFont="1" applyFill="1" applyBorder="1" applyAlignment="1" applyProtection="1">
      <alignment horizontal="right"/>
    </xf>
    <xf numFmtId="0" fontId="11" fillId="5" borderId="17" xfId="0" applyFont="1" applyFill="1" applyBorder="1" applyAlignment="1" applyProtection="1">
      <alignment horizontal="right"/>
    </xf>
    <xf numFmtId="0" fontId="3" fillId="2" borderId="11" xfId="0" applyFont="1" applyFill="1" applyBorder="1" applyAlignment="1" applyProtection="1">
      <alignment vertical="center"/>
    </xf>
    <xf numFmtId="0" fontId="9" fillId="4" borderId="1" xfId="0" applyFont="1" applyFill="1" applyBorder="1" applyAlignment="1" applyProtection="1">
      <alignment horizontal="center" vertical="center" wrapText="1"/>
    </xf>
  </cellXfs>
  <cellStyles count="1">
    <cellStyle name="Normal" xfId="0" builtinId="0"/>
  </cellStyles>
  <dxfs count="2">
    <dxf>
      <fill>
        <patternFill>
          <bgColor rgb="FFFF3737"/>
        </patternFill>
      </fill>
    </dxf>
    <dxf>
      <fill>
        <patternFill>
          <bgColor rgb="FF00FA71"/>
        </patternFill>
      </fill>
    </dxf>
  </dxfs>
  <tableStyles count="0" defaultTableStyle="TableStyleMedium2" defaultPivotStyle="PivotStyleLight16"/>
  <colors>
    <mruColors>
      <color rgb="FFFF3737"/>
      <color rgb="FF00FA7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152400</xdr:colOff>
      <xdr:row>50</xdr:row>
      <xdr:rowOff>28575</xdr:rowOff>
    </xdr:from>
    <xdr:to>
      <xdr:col>7</xdr:col>
      <xdr:colOff>742590</xdr:colOff>
      <xdr:row>55</xdr:row>
      <xdr:rowOff>171313</xdr:rowOff>
    </xdr:to>
    <xdr:pic>
      <xdr:nvPicPr>
        <xdr:cNvPr id="3" name="Image 2">
          <a:extLst>
            <a:ext uri="{FF2B5EF4-FFF2-40B4-BE49-F238E27FC236}">
              <a16:creationId xmlns:a16="http://schemas.microsoft.com/office/drawing/2014/main" id="{B2084EC0-E8A7-1F92-038C-76D60DF0534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876925" y="9363075"/>
          <a:ext cx="2876190" cy="1095238"/>
        </a:xfrm>
        <a:prstGeom prst="rect">
          <a:avLst/>
        </a:prstGeom>
      </xdr:spPr>
    </xdr:pic>
    <xdr:clientData/>
  </xdr:twoCellAnchor>
  <xdr:twoCellAnchor editAs="oneCell">
    <xdr:from>
      <xdr:col>4</xdr:col>
      <xdr:colOff>400050</xdr:colOff>
      <xdr:row>56</xdr:row>
      <xdr:rowOff>171450</xdr:rowOff>
    </xdr:from>
    <xdr:to>
      <xdr:col>7</xdr:col>
      <xdr:colOff>266700</xdr:colOff>
      <xdr:row>64</xdr:row>
      <xdr:rowOff>56457</xdr:rowOff>
    </xdr:to>
    <xdr:pic>
      <xdr:nvPicPr>
        <xdr:cNvPr id="4" name="Image 3">
          <a:extLst>
            <a:ext uri="{FF2B5EF4-FFF2-40B4-BE49-F238E27FC236}">
              <a16:creationId xmlns:a16="http://schemas.microsoft.com/office/drawing/2014/main" id="{C8C8DE90-5164-BF68-F35A-A57C03AAD56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6124575" y="10648950"/>
          <a:ext cx="2152650" cy="1409007"/>
        </a:xfrm>
        <a:prstGeom prst="rect">
          <a:avLst/>
        </a:prstGeom>
      </xdr:spPr>
    </xdr:pic>
    <xdr:clientData/>
  </xdr:twoCellAnchor>
  <xdr:twoCellAnchor>
    <xdr:from>
      <xdr:col>4</xdr:col>
      <xdr:colOff>342900</xdr:colOff>
      <xdr:row>9</xdr:row>
      <xdr:rowOff>180976</xdr:rowOff>
    </xdr:from>
    <xdr:to>
      <xdr:col>7</xdr:col>
      <xdr:colOff>21973</xdr:colOff>
      <xdr:row>18</xdr:row>
      <xdr:rowOff>85726</xdr:rowOff>
    </xdr:to>
    <xdr:grpSp>
      <xdr:nvGrpSpPr>
        <xdr:cNvPr id="8" name="Groupe 7">
          <a:extLst>
            <a:ext uri="{FF2B5EF4-FFF2-40B4-BE49-F238E27FC236}">
              <a16:creationId xmlns:a16="http://schemas.microsoft.com/office/drawing/2014/main" id="{5B7DD275-EB8B-8C73-9954-67844668C20C}"/>
            </a:ext>
          </a:extLst>
        </xdr:cNvPr>
        <xdr:cNvGrpSpPr/>
      </xdr:nvGrpSpPr>
      <xdr:grpSpPr>
        <a:xfrm>
          <a:off x="5934075" y="2581276"/>
          <a:ext cx="1965073" cy="1866900"/>
          <a:chOff x="5953125" y="2324101"/>
          <a:chExt cx="1965073" cy="1866900"/>
        </a:xfrm>
      </xdr:grpSpPr>
      <xdr:pic>
        <xdr:nvPicPr>
          <xdr:cNvPr id="5" name="Image 4">
            <a:extLst>
              <a:ext uri="{FF2B5EF4-FFF2-40B4-BE49-F238E27FC236}">
                <a16:creationId xmlns:a16="http://schemas.microsoft.com/office/drawing/2014/main" id="{5A27AFDE-82BF-F55A-A13A-377D30FD54AB}"/>
              </a:ext>
            </a:extLst>
          </xdr:cNvPr>
          <xdr:cNvPicPr>
            <a:picLocks noChangeAspect="1"/>
          </xdr:cNvPicPr>
        </xdr:nvPicPr>
        <xdr:blipFill>
          <a:blip xmlns:r="http://schemas.openxmlformats.org/officeDocument/2006/relationships" r:embed="rId3"/>
          <a:stretch>
            <a:fillRect/>
          </a:stretch>
        </xdr:blipFill>
        <xdr:spPr>
          <a:xfrm>
            <a:off x="6457950" y="2324101"/>
            <a:ext cx="1460248" cy="1866900"/>
          </a:xfrm>
          <a:prstGeom prst="rect">
            <a:avLst/>
          </a:prstGeom>
        </xdr:spPr>
      </xdr:pic>
      <xdr:sp macro="" textlink="">
        <xdr:nvSpPr>
          <xdr:cNvPr id="6" name="ZoneTexte 5">
            <a:extLst>
              <a:ext uri="{FF2B5EF4-FFF2-40B4-BE49-F238E27FC236}">
                <a16:creationId xmlns:a16="http://schemas.microsoft.com/office/drawing/2014/main" id="{E490CDA3-D7D7-FA8B-D526-CEFCAB4F77B2}"/>
              </a:ext>
            </a:extLst>
          </xdr:cNvPr>
          <xdr:cNvSpPr txBox="1"/>
        </xdr:nvSpPr>
        <xdr:spPr>
          <a:xfrm>
            <a:off x="5953125" y="3190875"/>
            <a:ext cx="523798" cy="264560"/>
          </a:xfrm>
          <a:prstGeom prst="rect">
            <a:avLst/>
          </a:prstGeom>
          <a:noFill/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tx1"/>
          </a:fontRef>
        </xdr:style>
        <xdr:txBody>
          <a:bodyPr vertOverflow="clip" horzOverflow="clip" wrap="none" rtlCol="0" anchor="t">
            <a:spAutoFit/>
          </a:bodyPr>
          <a:lstStyle/>
          <a:p>
            <a:r>
              <a:rPr lang="fr-FR" sz="1100" b="1" i="0"/>
              <a:t>Lt_eff</a:t>
            </a:r>
          </a:p>
        </xdr:txBody>
      </xdr:sp>
    </xdr:grpSp>
    <xdr:clientData/>
  </xdr:twoCellAnchor>
  <xdr:twoCellAnchor editAs="oneCell">
    <xdr:from>
      <xdr:col>4</xdr:col>
      <xdr:colOff>706855</xdr:colOff>
      <xdr:row>1</xdr:row>
      <xdr:rowOff>209549</xdr:rowOff>
    </xdr:from>
    <xdr:to>
      <xdr:col>7</xdr:col>
      <xdr:colOff>549091</xdr:colOff>
      <xdr:row>8</xdr:row>
      <xdr:rowOff>266699</xdr:rowOff>
    </xdr:to>
    <xdr:pic>
      <xdr:nvPicPr>
        <xdr:cNvPr id="7" name="Image 6">
          <a:extLst>
            <a:ext uri="{FF2B5EF4-FFF2-40B4-BE49-F238E27FC236}">
              <a16:creationId xmlns:a16="http://schemas.microsoft.com/office/drawing/2014/main" id="{5C7F1E7A-1141-3DD4-A6AE-82E433A805E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4"/>
        <a:srcRect l="21239"/>
        <a:stretch/>
      </xdr:blipFill>
      <xdr:spPr>
        <a:xfrm>
          <a:off x="6298030" y="838199"/>
          <a:ext cx="2128236" cy="1514475"/>
        </a:xfrm>
        <a:prstGeom prst="rect">
          <a:avLst/>
        </a:prstGeom>
      </xdr:spPr>
    </xdr:pic>
    <xdr:clientData/>
  </xdr:twoCellAnchor>
  <xdr:oneCellAnchor>
    <xdr:from>
      <xdr:col>4</xdr:col>
      <xdr:colOff>428625</xdr:colOff>
      <xdr:row>53</xdr:row>
      <xdr:rowOff>66675</xdr:rowOff>
    </xdr:from>
    <xdr:ext cx="292452" cy="342786"/>
    <xdr:sp macro="" textlink="">
      <xdr:nvSpPr>
        <xdr:cNvPr id="9" name="ZoneTexte 8">
          <a:extLst>
            <a:ext uri="{FF2B5EF4-FFF2-40B4-BE49-F238E27FC236}">
              <a16:creationId xmlns:a16="http://schemas.microsoft.com/office/drawing/2014/main" id="{C7040BA8-1C94-7C50-68EE-9424C0AEE93A}"/>
            </a:ext>
          </a:extLst>
        </xdr:cNvPr>
        <xdr:cNvSpPr txBox="1"/>
      </xdr:nvSpPr>
      <xdr:spPr>
        <a:xfrm>
          <a:off x="6019800" y="11182350"/>
          <a:ext cx="292452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1600" b="1"/>
            <a:t>d</a:t>
          </a:r>
        </a:p>
      </xdr:txBody>
    </xdr:sp>
    <xdr:clientData/>
  </xdr:oneCellAnchor>
  <xdr:oneCellAnchor>
    <xdr:from>
      <xdr:col>7</xdr:col>
      <xdr:colOff>295275</xdr:colOff>
      <xdr:row>54</xdr:row>
      <xdr:rowOff>95250</xdr:rowOff>
    </xdr:from>
    <xdr:ext cx="398764" cy="342786"/>
    <xdr:sp macro="" textlink="">
      <xdr:nvSpPr>
        <xdr:cNvPr id="10" name="ZoneTexte 9">
          <a:extLst>
            <a:ext uri="{FF2B5EF4-FFF2-40B4-BE49-F238E27FC236}">
              <a16:creationId xmlns:a16="http://schemas.microsoft.com/office/drawing/2014/main" id="{AF7E17E7-BD60-4139-86D0-D4E2D75789F9}"/>
            </a:ext>
          </a:extLst>
        </xdr:cNvPr>
        <xdr:cNvSpPr txBox="1"/>
      </xdr:nvSpPr>
      <xdr:spPr>
        <a:xfrm>
          <a:off x="8172450" y="11401425"/>
          <a:ext cx="398764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1600" b="1"/>
            <a:t>d2</a:t>
          </a:r>
        </a:p>
      </xdr:txBody>
    </xdr:sp>
    <xdr:clientData/>
  </xdr:oneCellAnchor>
  <xdr:oneCellAnchor>
    <xdr:from>
      <xdr:col>4</xdr:col>
      <xdr:colOff>485775</xdr:colOff>
      <xdr:row>62</xdr:row>
      <xdr:rowOff>171450</xdr:rowOff>
    </xdr:from>
    <xdr:ext cx="418000" cy="342786"/>
    <xdr:sp macro="" textlink="">
      <xdr:nvSpPr>
        <xdr:cNvPr id="11" name="ZoneTexte 10">
          <a:extLst>
            <a:ext uri="{FF2B5EF4-FFF2-40B4-BE49-F238E27FC236}">
              <a16:creationId xmlns:a16="http://schemas.microsoft.com/office/drawing/2014/main" id="{9FB02F92-CB78-4B92-BD81-B86328DDBA5C}"/>
            </a:ext>
          </a:extLst>
        </xdr:cNvPr>
        <xdr:cNvSpPr txBox="1"/>
      </xdr:nvSpPr>
      <xdr:spPr>
        <a:xfrm>
          <a:off x="6076950" y="13001625"/>
          <a:ext cx="418000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1600" b="1"/>
            <a:t>D1</a:t>
          </a:r>
        </a:p>
      </xdr:txBody>
    </xdr:sp>
    <xdr:clientData/>
  </xdr:oneCellAnchor>
  <xdr:oneCellAnchor>
    <xdr:from>
      <xdr:col>6</xdr:col>
      <xdr:colOff>628650</xdr:colOff>
      <xdr:row>61</xdr:row>
      <xdr:rowOff>19050</xdr:rowOff>
    </xdr:from>
    <xdr:ext cx="418000" cy="342786"/>
    <xdr:sp macro="" textlink="">
      <xdr:nvSpPr>
        <xdr:cNvPr id="12" name="ZoneTexte 11">
          <a:extLst>
            <a:ext uri="{FF2B5EF4-FFF2-40B4-BE49-F238E27FC236}">
              <a16:creationId xmlns:a16="http://schemas.microsoft.com/office/drawing/2014/main" id="{9B407EC9-11C9-4300-A758-9D623AA254C3}"/>
            </a:ext>
          </a:extLst>
        </xdr:cNvPr>
        <xdr:cNvSpPr txBox="1"/>
      </xdr:nvSpPr>
      <xdr:spPr>
        <a:xfrm>
          <a:off x="7743825" y="12658725"/>
          <a:ext cx="418000" cy="342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1600" b="1"/>
            <a:t>D2</a:t>
          </a:r>
        </a:p>
      </xdr:txBody>
    </xdr:sp>
    <xdr:clientData/>
  </xdr:oneCellAnchor>
  <xdr:twoCellAnchor editAs="oneCell">
    <xdr:from>
      <xdr:col>0</xdr:col>
      <xdr:colOff>38100</xdr:colOff>
      <xdr:row>0</xdr:row>
      <xdr:rowOff>45141</xdr:rowOff>
    </xdr:from>
    <xdr:to>
      <xdr:col>0</xdr:col>
      <xdr:colOff>1657887</xdr:colOff>
      <xdr:row>0</xdr:row>
      <xdr:rowOff>447674</xdr:rowOff>
    </xdr:to>
    <xdr:pic>
      <xdr:nvPicPr>
        <xdr:cNvPr id="13" name="Image 12">
          <a:extLst>
            <a:ext uri="{FF2B5EF4-FFF2-40B4-BE49-F238E27FC236}">
              <a16:creationId xmlns:a16="http://schemas.microsoft.com/office/drawing/2014/main" id="{7B8CB59F-1332-338E-7338-0CA6EDE3B44B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5"/>
        <a:srcRect l="5499" t="13710" r="5135" b="14325"/>
        <a:stretch/>
      </xdr:blipFill>
      <xdr:spPr>
        <a:xfrm>
          <a:off x="38100" y="45141"/>
          <a:ext cx="1619787" cy="402533"/>
        </a:xfrm>
        <a:prstGeom prst="rect">
          <a:avLst/>
        </a:prstGeom>
      </xdr:spPr>
    </xdr:pic>
    <xdr:clientData/>
  </xdr:twoCellAnchor>
  <xdr:oneCellAnchor>
    <xdr:from>
      <xdr:col>4</xdr:col>
      <xdr:colOff>504825</xdr:colOff>
      <xdr:row>18</xdr:row>
      <xdr:rowOff>57150</xdr:rowOff>
    </xdr:from>
    <xdr:ext cx="2346412" cy="609013"/>
    <xdr:sp macro="" textlink="">
      <xdr:nvSpPr>
        <xdr:cNvPr id="14" name="ZoneTexte 13">
          <a:extLst>
            <a:ext uri="{FF2B5EF4-FFF2-40B4-BE49-F238E27FC236}">
              <a16:creationId xmlns:a16="http://schemas.microsoft.com/office/drawing/2014/main" id="{E171EFE9-1FC5-6106-C8E2-23B310BF7208}"/>
            </a:ext>
          </a:extLst>
        </xdr:cNvPr>
        <xdr:cNvSpPr txBox="1"/>
      </xdr:nvSpPr>
      <xdr:spPr>
        <a:xfrm>
          <a:off x="6096000" y="4419600"/>
          <a:ext cx="2346412" cy="609013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fr-FR" sz="1100" b="0" i="1"/>
            <a:t>Lt_eff</a:t>
          </a:r>
          <a:r>
            <a:rPr lang="fr-FR" sz="1100" b="0" i="1" baseline="0"/>
            <a:t> ne comprend ni le chanfrein </a:t>
          </a:r>
        </a:p>
        <a:p>
          <a:r>
            <a:rPr lang="fr-FR" sz="1100" b="0" i="1" baseline="0"/>
            <a:t>d'entrée du taraudage ni les derniers</a:t>
          </a:r>
        </a:p>
        <a:p>
          <a:r>
            <a:rPr lang="fr-FR" sz="1100" b="0" i="1" baseline="0"/>
            <a:t>filets incomplets de la vis</a:t>
          </a:r>
          <a:endParaRPr lang="fr-FR" sz="1100" b="0" i="1"/>
        </a:p>
      </xdr:txBody>
    </xdr:sp>
    <xdr:clientData/>
  </xdr:oneCell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C09F80-D7CB-4D76-9402-F1B9B2AB3C85}">
  <sheetPr codeName="Feuil1"/>
  <dimension ref="A1:H119"/>
  <sheetViews>
    <sheetView tabSelected="1" zoomScaleNormal="100" workbookViewId="0">
      <selection activeCell="C3" sqref="C3"/>
    </sheetView>
  </sheetViews>
  <sheetFormatPr baseColWidth="10" defaultRowHeight="15" x14ac:dyDescent="0.25"/>
  <cols>
    <col min="1" max="1" width="54.7109375" customWidth="1"/>
    <col min="2" max="2" width="11.7109375" style="1" customWidth="1"/>
    <col min="3" max="3" width="8.7109375" customWidth="1"/>
    <col min="4" max="4" width="8.7109375" style="2" customWidth="1"/>
  </cols>
  <sheetData>
    <row r="1" spans="1:8" s="3" customFormat="1" ht="50.1" customHeight="1" x14ac:dyDescent="0.3">
      <c r="A1" s="68" t="s">
        <v>115</v>
      </c>
      <c r="B1" s="69"/>
      <c r="C1" s="69"/>
      <c r="D1" s="69"/>
      <c r="E1" s="70"/>
      <c r="F1" s="70"/>
      <c r="G1" s="70"/>
      <c r="H1" s="71" t="s">
        <v>112</v>
      </c>
    </row>
    <row r="2" spans="1:8" s="3" customFormat="1" ht="24.95" customHeight="1" x14ac:dyDescent="0.25">
      <c r="A2" s="64" t="s">
        <v>103</v>
      </c>
      <c r="B2" s="65"/>
      <c r="C2" s="65"/>
      <c r="D2" s="65"/>
      <c r="E2" s="12"/>
      <c r="F2" s="12"/>
      <c r="G2" s="12"/>
      <c r="H2" s="13"/>
    </row>
    <row r="3" spans="1:8" x14ac:dyDescent="0.25">
      <c r="A3" s="14" t="s">
        <v>3</v>
      </c>
      <c r="B3" s="15" t="s">
        <v>0</v>
      </c>
      <c r="C3" s="4">
        <v>10</v>
      </c>
      <c r="D3" s="17" t="s">
        <v>4</v>
      </c>
      <c r="E3" s="18"/>
      <c r="F3" s="18"/>
      <c r="G3" s="18"/>
      <c r="H3" s="19"/>
    </row>
    <row r="4" spans="1:8" x14ac:dyDescent="0.25">
      <c r="A4" s="14" t="s">
        <v>24</v>
      </c>
      <c r="B4" s="7" t="s">
        <v>21</v>
      </c>
      <c r="C4" s="8"/>
      <c r="D4" s="9"/>
      <c r="E4" s="18"/>
      <c r="F4" s="18"/>
      <c r="G4" s="18"/>
      <c r="H4" s="19"/>
    </row>
    <row r="5" spans="1:8" x14ac:dyDescent="0.25">
      <c r="A5" s="14" t="s">
        <v>5</v>
      </c>
      <c r="B5" s="15" t="s">
        <v>1</v>
      </c>
      <c r="C5" s="67">
        <f>IF(B4="Pas gros",VLOOKUP(d,B101:D110,2,FALSE),VLOOKUP(d,B101:D110,3,FALSE))</f>
        <v>1.5</v>
      </c>
      <c r="D5" s="17" t="s">
        <v>4</v>
      </c>
      <c r="E5" s="18"/>
      <c r="F5" s="18"/>
      <c r="G5" s="18"/>
      <c r="H5" s="19"/>
    </row>
    <row r="6" spans="1:8" x14ac:dyDescent="0.25">
      <c r="A6" s="14" t="s">
        <v>6</v>
      </c>
      <c r="B6" s="66">
        <v>6</v>
      </c>
      <c r="C6" s="66"/>
      <c r="D6" s="66"/>
      <c r="E6" s="18"/>
      <c r="F6" s="18"/>
      <c r="G6" s="18"/>
      <c r="H6" s="19"/>
    </row>
    <row r="7" spans="1:8" x14ac:dyDescent="0.25">
      <c r="A7" s="14" t="s">
        <v>7</v>
      </c>
      <c r="B7" s="66" t="s">
        <v>8</v>
      </c>
      <c r="C7" s="66"/>
      <c r="D7" s="66"/>
      <c r="E7" s="18"/>
      <c r="F7" s="18"/>
      <c r="G7" s="18"/>
      <c r="H7" s="19"/>
    </row>
    <row r="8" spans="1:8" x14ac:dyDescent="0.25">
      <c r="A8" s="14" t="s">
        <v>9</v>
      </c>
      <c r="B8" s="6" t="s">
        <v>15</v>
      </c>
      <c r="C8" s="6"/>
      <c r="D8" s="6"/>
      <c r="E8" s="18"/>
      <c r="F8" s="18"/>
      <c r="G8" s="18"/>
      <c r="H8" s="19"/>
    </row>
    <row r="9" spans="1:8" s="3" customFormat="1" ht="24.95" customHeight="1" x14ac:dyDescent="0.25">
      <c r="A9" s="64" t="s">
        <v>104</v>
      </c>
      <c r="B9" s="65"/>
      <c r="C9" s="65"/>
      <c r="D9" s="65"/>
      <c r="E9" s="12"/>
      <c r="F9" s="12"/>
      <c r="G9" s="12"/>
      <c r="H9" s="13"/>
    </row>
    <row r="10" spans="1:8" x14ac:dyDescent="0.25">
      <c r="A10" s="14" t="s">
        <v>6</v>
      </c>
      <c r="B10" s="66">
        <v>6</v>
      </c>
      <c r="C10" s="66"/>
      <c r="D10" s="66"/>
      <c r="E10" s="18"/>
      <c r="F10" s="18"/>
      <c r="G10" s="18"/>
      <c r="H10" s="19"/>
    </row>
    <row r="11" spans="1:8" x14ac:dyDescent="0.25">
      <c r="A11" s="14" t="s">
        <v>7</v>
      </c>
      <c r="B11" s="66" t="s">
        <v>11</v>
      </c>
      <c r="C11" s="66"/>
      <c r="D11" s="66"/>
      <c r="E11" s="18"/>
      <c r="F11" s="18"/>
      <c r="G11" s="18" t="s">
        <v>25</v>
      </c>
      <c r="H11" s="19"/>
    </row>
    <row r="12" spans="1:8" x14ac:dyDescent="0.25">
      <c r="A12" s="14" t="s">
        <v>13</v>
      </c>
      <c r="B12" s="15" t="s">
        <v>14</v>
      </c>
      <c r="C12" s="5">
        <v>45</v>
      </c>
      <c r="D12" s="17" t="s">
        <v>4</v>
      </c>
      <c r="E12" s="18"/>
      <c r="F12" s="18"/>
      <c r="G12" s="18"/>
      <c r="H12" s="19"/>
    </row>
    <row r="13" spans="1:8" x14ac:dyDescent="0.25">
      <c r="A13" s="14" t="s">
        <v>99</v>
      </c>
      <c r="B13" s="15" t="s">
        <v>23</v>
      </c>
      <c r="C13" s="5">
        <v>780</v>
      </c>
      <c r="D13" s="17" t="s">
        <v>12</v>
      </c>
      <c r="E13" s="18"/>
      <c r="F13" s="18"/>
      <c r="G13" s="18"/>
      <c r="H13" s="19"/>
    </row>
    <row r="14" spans="1:8" s="3" customFormat="1" ht="24.95" customHeight="1" x14ac:dyDescent="0.25">
      <c r="A14" s="64" t="s">
        <v>105</v>
      </c>
      <c r="B14" s="65"/>
      <c r="C14" s="65"/>
      <c r="D14" s="65"/>
      <c r="E14" s="12"/>
      <c r="F14" s="12"/>
      <c r="G14" s="12"/>
      <c r="H14" s="13"/>
    </row>
    <row r="15" spans="1:8" x14ac:dyDescent="0.25">
      <c r="A15" s="14" t="s">
        <v>116</v>
      </c>
      <c r="B15" s="15" t="s">
        <v>10</v>
      </c>
      <c r="C15" s="4">
        <v>18.5</v>
      </c>
      <c r="D15" s="17" t="s">
        <v>4</v>
      </c>
      <c r="E15" s="18"/>
      <c r="F15" s="18"/>
      <c r="G15" s="18"/>
      <c r="H15" s="19"/>
    </row>
    <row r="16" spans="1:8" s="3" customFormat="1" ht="24.95" customHeight="1" x14ac:dyDescent="0.25">
      <c r="A16" s="10" t="s">
        <v>34</v>
      </c>
      <c r="B16" s="11"/>
      <c r="C16" s="11"/>
      <c r="D16" s="11"/>
      <c r="E16" s="12"/>
      <c r="F16" s="12"/>
      <c r="G16" s="12"/>
      <c r="H16" s="13"/>
    </row>
    <row r="17" spans="1:8" x14ac:dyDescent="0.25">
      <c r="A17" s="14" t="s">
        <v>31</v>
      </c>
      <c r="B17" s="15" t="s">
        <v>35</v>
      </c>
      <c r="C17" s="16">
        <f>As_nom*Rm_vis</f>
        <v>46392.390186707897</v>
      </c>
      <c r="D17" s="17" t="s">
        <v>113</v>
      </c>
      <c r="E17" s="18"/>
      <c r="F17" s="18"/>
      <c r="G17" s="18"/>
      <c r="H17" s="19"/>
    </row>
    <row r="18" spans="1:8" x14ac:dyDescent="0.25">
      <c r="A18" s="14" t="s">
        <v>32</v>
      </c>
      <c r="B18" s="15" t="s">
        <v>97</v>
      </c>
      <c r="C18" s="16">
        <f>Ꞇb*Asb*_C1*_C2</f>
        <v>143342.40638781001</v>
      </c>
      <c r="D18" s="17" t="s">
        <v>113</v>
      </c>
      <c r="E18" s="18"/>
      <c r="F18" s="18"/>
      <c r="G18" s="18"/>
      <c r="H18" s="19"/>
    </row>
    <row r="19" spans="1:8" ht="15.75" thickBot="1" x14ac:dyDescent="0.3">
      <c r="A19" s="20" t="s">
        <v>33</v>
      </c>
      <c r="B19" s="21" t="s">
        <v>98</v>
      </c>
      <c r="C19" s="22">
        <f>Ꞇt*Ast*_C1*_C3</f>
        <v>167594.7223381192</v>
      </c>
      <c r="D19" s="23" t="s">
        <v>113</v>
      </c>
      <c r="E19" s="18"/>
      <c r="F19" s="18"/>
      <c r="G19" s="18"/>
      <c r="H19" s="19"/>
    </row>
    <row r="20" spans="1:8" ht="21" x14ac:dyDescent="0.35">
      <c r="A20" s="24" t="str">
        <f>IF(MIN(C18:C19)&lt;=C17,"RISQUE D'ARRACHEMENT","PAS DE RISQUE D'ARRACHEMENT DE FILETS")</f>
        <v>PAS DE RISQUE D'ARRACHEMENT DE FILETS</v>
      </c>
      <c r="B20" s="25"/>
      <c r="C20" s="25"/>
      <c r="D20" s="26"/>
      <c r="E20" s="18"/>
      <c r="F20" s="18"/>
      <c r="G20" s="18"/>
      <c r="H20" s="19"/>
    </row>
    <row r="21" spans="1:8" ht="21.75" thickBot="1" x14ac:dyDescent="0.4">
      <c r="A21" s="27" t="str">
        <f>IF(C17=MIN(C17:C19),"VIS FUSIBLE EN STRICTION (partie filetée tendue)",IF(C18=MIN(C17:C19),"DES FILETS DE LA VIS",IF(C19=MIN(C17:C19),"DES FILETS DU TARAUDAGE")))</f>
        <v>VIS FUSIBLE EN STRICTION (partie filetée tendue)</v>
      </c>
      <c r="B21" s="28"/>
      <c r="C21" s="28"/>
      <c r="D21" s="29"/>
      <c r="E21" s="30"/>
      <c r="F21" s="30"/>
      <c r="G21" s="30"/>
      <c r="H21" s="31"/>
    </row>
    <row r="22" spans="1:8" x14ac:dyDescent="0.25">
      <c r="A22" s="32" t="s">
        <v>102</v>
      </c>
      <c r="B22" s="33"/>
      <c r="C22" s="33"/>
      <c r="D22" s="34"/>
      <c r="E22" s="35"/>
      <c r="F22" s="35"/>
      <c r="G22" s="35"/>
      <c r="H22" s="35"/>
    </row>
    <row r="23" spans="1:8" x14ac:dyDescent="0.25">
      <c r="A23" s="36" t="s">
        <v>83</v>
      </c>
      <c r="B23" s="37" t="s">
        <v>85</v>
      </c>
      <c r="C23" s="38">
        <f>(Lt_eff*PI()*D1_max/P)*(P/2+(d2_min-D1_max)/SQRT(3))</f>
        <v>287.00630532831298</v>
      </c>
      <c r="D23" s="39" t="s">
        <v>30</v>
      </c>
      <c r="E23" s="35"/>
      <c r="F23" s="35"/>
      <c r="G23" s="35"/>
      <c r="H23" s="35"/>
    </row>
    <row r="24" spans="1:8" x14ac:dyDescent="0.25">
      <c r="A24" s="36" t="s">
        <v>84</v>
      </c>
      <c r="B24" s="37" t="s">
        <v>86</v>
      </c>
      <c r="C24" s="38">
        <f>(Lt_eff*PI()*d_min/P)*(P/2+(d_min-_D2_max)/SQRT(3))</f>
        <v>399.2289643972768</v>
      </c>
      <c r="D24" s="39" t="s">
        <v>30</v>
      </c>
      <c r="E24" s="35"/>
      <c r="F24" s="35"/>
      <c r="G24" s="35"/>
      <c r="H24" s="35"/>
    </row>
    <row r="25" spans="1:8" x14ac:dyDescent="0.25">
      <c r="A25" s="40"/>
      <c r="B25" s="41"/>
      <c r="C25" s="42"/>
      <c r="D25" s="43"/>
      <c r="E25" s="35"/>
      <c r="F25" s="35"/>
      <c r="G25" s="35"/>
      <c r="H25" s="35"/>
    </row>
    <row r="26" spans="1:8" x14ac:dyDescent="0.25">
      <c r="A26" s="36" t="s">
        <v>100</v>
      </c>
      <c r="B26" s="44" t="s">
        <v>96</v>
      </c>
      <c r="C26" s="45">
        <f>0.6*Rm_vis</f>
        <v>480</v>
      </c>
      <c r="D26" s="39" t="s">
        <v>12</v>
      </c>
      <c r="E26" s="35"/>
      <c r="F26" s="35"/>
      <c r="G26" s="35"/>
      <c r="H26" s="35"/>
    </row>
    <row r="27" spans="1:8" x14ac:dyDescent="0.25">
      <c r="A27" s="36" t="s">
        <v>101</v>
      </c>
      <c r="B27" s="44" t="s">
        <v>95</v>
      </c>
      <c r="C27" s="45">
        <f>0.6*Rm_t</f>
        <v>468</v>
      </c>
      <c r="D27" s="39" t="s">
        <v>12</v>
      </c>
      <c r="E27" s="35"/>
      <c r="F27" s="35"/>
      <c r="G27" s="35"/>
      <c r="H27" s="35"/>
    </row>
    <row r="28" spans="1:8" x14ac:dyDescent="0.25">
      <c r="A28" s="40"/>
      <c r="B28" s="41"/>
      <c r="C28" s="40"/>
      <c r="D28" s="43"/>
      <c r="E28" s="35"/>
      <c r="F28" s="35"/>
      <c r="G28" s="35"/>
      <c r="H28" s="35"/>
    </row>
    <row r="29" spans="1:8" x14ac:dyDescent="0.25">
      <c r="A29" s="36" t="s">
        <v>87</v>
      </c>
      <c r="B29" s="37" t="s">
        <v>88</v>
      </c>
      <c r="C29" s="36">
        <f>IF(Da/d&lt;=1.9,3.8*(Da/d)-(Da/d)^2+-2.61,1)</f>
        <v>1</v>
      </c>
      <c r="D29" s="39" t="s">
        <v>94</v>
      </c>
      <c r="E29" s="35"/>
      <c r="F29" s="35"/>
      <c r="G29" s="35"/>
      <c r="H29" s="35"/>
    </row>
    <row r="30" spans="1:8" ht="18" x14ac:dyDescent="0.35">
      <c r="A30" s="36" t="s">
        <v>89</v>
      </c>
      <c r="B30" s="44" t="s">
        <v>111</v>
      </c>
      <c r="C30" s="46">
        <f>(Ast*Ꞇt)/(Asb*Ꞇb)</f>
        <v>1.3562358493903994</v>
      </c>
      <c r="D30" s="39" t="s">
        <v>94</v>
      </c>
      <c r="E30" s="35"/>
      <c r="F30" s="35"/>
      <c r="G30" s="35"/>
      <c r="H30" s="35"/>
    </row>
    <row r="31" spans="1:8" x14ac:dyDescent="0.25">
      <c r="A31" s="36" t="s">
        <v>90</v>
      </c>
      <c r="B31" s="37" t="s">
        <v>93</v>
      </c>
      <c r="C31" s="46">
        <f>IF(RꞆ&gt;=2,1.187,IF(RꞆ&gt;1,5.594 -13.682*RꞆ+14.107*RꞆ^2-6.057*RꞆ^3+0.9353*RꞆ^4,IF(RꞆ&lt;1,0.897)))</f>
        <v>1.0404998348950136</v>
      </c>
      <c r="D31" s="39" t="s">
        <v>94</v>
      </c>
      <c r="E31" s="35"/>
      <c r="F31" s="35"/>
      <c r="G31" s="35"/>
      <c r="H31" s="35"/>
    </row>
    <row r="32" spans="1:8" x14ac:dyDescent="0.25">
      <c r="A32" s="36" t="s">
        <v>91</v>
      </c>
      <c r="B32" s="37" t="s">
        <v>92</v>
      </c>
      <c r="C32" s="46">
        <f>IF(RꞆ&gt;=1,0.897,IF(RꞆ&gt;0.4,0.728+1.769*RꞆ-2.896*RꞆ^2+1.296*RꞆ^3,IF(RꞆ&lt;=0.4,1.055)))</f>
        <v>0.89700000000000002</v>
      </c>
      <c r="D32" s="39" t="s">
        <v>94</v>
      </c>
      <c r="E32" s="35"/>
      <c r="F32" s="35"/>
      <c r="G32" s="35"/>
      <c r="H32" s="35"/>
    </row>
    <row r="33" spans="1:8" x14ac:dyDescent="0.25">
      <c r="A33" s="40"/>
      <c r="B33" s="41"/>
      <c r="C33" s="40"/>
      <c r="D33" s="43"/>
      <c r="E33" s="35"/>
      <c r="F33" s="35"/>
      <c r="G33" s="35"/>
      <c r="H33" s="35"/>
    </row>
    <row r="34" spans="1:8" x14ac:dyDescent="0.25">
      <c r="A34" s="36" t="s">
        <v>29</v>
      </c>
      <c r="B34" s="37" t="s">
        <v>18</v>
      </c>
      <c r="C34" s="36">
        <f>VLOOKUP(Cq_vis,B96:D98,2,FALSE)</f>
        <v>640</v>
      </c>
      <c r="D34" s="39" t="s">
        <v>12</v>
      </c>
      <c r="E34" s="35"/>
      <c r="F34" s="35"/>
      <c r="G34" s="35"/>
      <c r="H34" s="35"/>
    </row>
    <row r="35" spans="1:8" x14ac:dyDescent="0.25">
      <c r="A35" s="36" t="s">
        <v>28</v>
      </c>
      <c r="B35" s="37" t="s">
        <v>19</v>
      </c>
      <c r="C35" s="36">
        <f>VLOOKUP(Cq_vis,B96:D98,3,FALSE)</f>
        <v>800</v>
      </c>
      <c r="D35" s="39" t="s">
        <v>12</v>
      </c>
      <c r="E35" s="35"/>
      <c r="F35" s="35"/>
      <c r="G35" s="35"/>
      <c r="H35" s="35"/>
    </row>
    <row r="36" spans="1:8" x14ac:dyDescent="0.25">
      <c r="A36" s="40"/>
      <c r="B36" s="41"/>
      <c r="C36" s="40"/>
      <c r="D36" s="43"/>
      <c r="E36" s="35"/>
      <c r="F36" s="35"/>
      <c r="G36" s="35"/>
      <c r="H36" s="35"/>
    </row>
    <row r="37" spans="1:8" x14ac:dyDescent="0.25">
      <c r="A37" s="47" t="s">
        <v>36</v>
      </c>
      <c r="B37" s="48" t="s">
        <v>51</v>
      </c>
      <c r="C37" s="49">
        <f>IF(qfv=3,0.5,IF(qfv=4,0.63,IF(qfv=5,0.8,IF(qfv=6,1,IF(qfv=7,1.25,IF(qfv=8,1.6,"écart ei non valable"))))))</f>
        <v>1</v>
      </c>
      <c r="D37" s="39"/>
      <c r="E37" s="35"/>
      <c r="F37" s="35"/>
      <c r="G37" s="35"/>
      <c r="H37" s="35"/>
    </row>
    <row r="38" spans="1:8" x14ac:dyDescent="0.25">
      <c r="A38" s="47" t="s">
        <v>37</v>
      </c>
      <c r="B38" s="48" t="s">
        <v>50</v>
      </c>
      <c r="C38" s="49">
        <f>IF(qft=3,0.5,IF(qft=4,0.63,IF(qft=5,0.8,IF(qft=6,1,IF(qft=7,1.25,IF(qft=8,1.6,"écart es non valable"))))))</f>
        <v>1</v>
      </c>
      <c r="D38" s="39"/>
      <c r="E38" s="35"/>
      <c r="F38" s="35"/>
      <c r="G38" s="35"/>
      <c r="H38" s="35"/>
    </row>
    <row r="39" spans="1:8" x14ac:dyDescent="0.25">
      <c r="A39" s="50" t="s">
        <v>38</v>
      </c>
      <c r="B39" s="37" t="s">
        <v>49</v>
      </c>
      <c r="C39" s="51">
        <f>kv*((180*(P^(2/3)))-(3.15*(P^-(1/2))))/1000</f>
        <v>0.23329476124887832</v>
      </c>
      <c r="D39" s="39" t="s">
        <v>4</v>
      </c>
      <c r="E39" s="35"/>
      <c r="F39" s="35"/>
      <c r="G39" s="35"/>
      <c r="H39" s="35"/>
    </row>
    <row r="40" spans="1:8" x14ac:dyDescent="0.25">
      <c r="A40" s="52" t="s">
        <v>39</v>
      </c>
      <c r="B40" s="37" t="s">
        <v>48</v>
      </c>
      <c r="C40" s="51">
        <f>ROUND((IF(ev="e",IF(P&gt;0.75,(50+11*P),"écart ei non valable"),IF(ev="f",(30+11*P),IF(ev="g",(15+11*P),IF(ev="h",0,"écart ei non valable")))))/1000,3)</f>
        <v>3.2000000000000001E-2</v>
      </c>
      <c r="D40" s="39" t="s">
        <v>4</v>
      </c>
      <c r="E40" s="35"/>
      <c r="F40" s="35"/>
      <c r="G40" s="35"/>
      <c r="H40" s="35"/>
    </row>
    <row r="41" spans="1:8" x14ac:dyDescent="0.25">
      <c r="A41" s="53" t="s">
        <v>40</v>
      </c>
      <c r="B41" s="37" t="s">
        <v>56</v>
      </c>
      <c r="C41" s="51">
        <f>d-(0.6495*P)</f>
        <v>9.0257500000000004</v>
      </c>
      <c r="D41" s="39" t="s">
        <v>4</v>
      </c>
      <c r="E41" s="35"/>
      <c r="F41" s="35"/>
      <c r="G41" s="35"/>
      <c r="H41" s="35"/>
    </row>
    <row r="42" spans="1:8" x14ac:dyDescent="0.25">
      <c r="A42" s="53" t="s">
        <v>41</v>
      </c>
      <c r="B42" s="37" t="s">
        <v>52</v>
      </c>
      <c r="C42" s="51">
        <f>(kv*90*P^0.4*d^0.1)/1000</f>
        <v>0.13325361909609207</v>
      </c>
      <c r="D42" s="39" t="s">
        <v>4</v>
      </c>
      <c r="E42" s="35"/>
      <c r="F42" s="35"/>
      <c r="G42" s="35"/>
      <c r="H42" s="35"/>
    </row>
    <row r="43" spans="1:8" x14ac:dyDescent="0.25">
      <c r="A43" s="54" t="s">
        <v>42</v>
      </c>
      <c r="B43" s="37" t="s">
        <v>2</v>
      </c>
      <c r="C43" s="51">
        <f>d-1.2268*P</f>
        <v>8.1598000000000006</v>
      </c>
      <c r="D43" s="39" t="s">
        <v>4</v>
      </c>
      <c r="E43" s="35"/>
      <c r="F43" s="35"/>
      <c r="G43" s="35"/>
      <c r="H43" s="35"/>
    </row>
    <row r="44" spans="1:8" x14ac:dyDescent="0.25">
      <c r="A44" s="54" t="s">
        <v>43</v>
      </c>
      <c r="B44" s="37" t="s">
        <v>82</v>
      </c>
      <c r="C44" s="51">
        <f>d-1.0825*P</f>
        <v>8.3762500000000006</v>
      </c>
      <c r="D44" s="39" t="s">
        <v>4</v>
      </c>
      <c r="E44" s="35"/>
      <c r="F44" s="35"/>
      <c r="G44" s="35"/>
      <c r="H44" s="35"/>
    </row>
    <row r="45" spans="1:8" x14ac:dyDescent="0.25">
      <c r="A45" s="53" t="s">
        <v>44</v>
      </c>
      <c r="B45" s="37" t="s">
        <v>53</v>
      </c>
      <c r="C45" s="51">
        <f>IF(et="H",0,IF(et="G",(15+11*P)/1000,"écart ei non valable"))</f>
        <v>0</v>
      </c>
      <c r="D45" s="39" t="s">
        <v>4</v>
      </c>
      <c r="E45" s="35"/>
      <c r="F45" s="35"/>
      <c r="G45" s="35"/>
      <c r="H45" s="35"/>
    </row>
    <row r="46" spans="1:8" x14ac:dyDescent="0.25">
      <c r="A46" s="53" t="s">
        <v>45</v>
      </c>
      <c r="B46" s="37" t="s">
        <v>54</v>
      </c>
      <c r="C46" s="51">
        <f>IF(P&lt;1,kt*((433*P)-(190*P^1.22)),kt*230*P^0.7)/1000</f>
        <v>0.3054862851869668</v>
      </c>
      <c r="D46" s="39" t="s">
        <v>4</v>
      </c>
      <c r="E46" s="35"/>
      <c r="F46" s="35"/>
      <c r="G46" s="35"/>
      <c r="H46" s="35"/>
    </row>
    <row r="47" spans="1:8" x14ac:dyDescent="0.25">
      <c r="A47" s="53" t="s">
        <v>46</v>
      </c>
      <c r="B47" s="37" t="s">
        <v>55</v>
      </c>
      <c r="C47" s="51">
        <f>d2_D2</f>
        <v>9.0257500000000004</v>
      </c>
      <c r="D47" s="39" t="s">
        <v>4</v>
      </c>
      <c r="E47" s="35"/>
      <c r="F47" s="35"/>
      <c r="G47" s="35"/>
      <c r="H47" s="35"/>
    </row>
    <row r="48" spans="1:8" x14ac:dyDescent="0.25">
      <c r="A48" s="53" t="s">
        <v>47</v>
      </c>
      <c r="B48" s="37" t="s">
        <v>57</v>
      </c>
      <c r="C48" s="51">
        <f>(kt*118*P^0.4*d^0.1)/1000</f>
        <v>0.17471030059265408</v>
      </c>
      <c r="D48" s="39" t="s">
        <v>4</v>
      </c>
      <c r="E48" s="35"/>
      <c r="F48" s="35"/>
      <c r="G48" s="35"/>
      <c r="H48" s="35"/>
    </row>
    <row r="49" spans="1:8" x14ac:dyDescent="0.25">
      <c r="A49" s="55"/>
      <c r="B49" s="41"/>
      <c r="C49" s="56"/>
      <c r="D49" s="43"/>
      <c r="E49" s="35"/>
      <c r="F49" s="35"/>
      <c r="G49" s="35"/>
      <c r="H49" s="35"/>
    </row>
    <row r="50" spans="1:8" x14ac:dyDescent="0.25">
      <c r="A50" s="50" t="s">
        <v>58</v>
      </c>
      <c r="B50" s="37" t="s">
        <v>61</v>
      </c>
      <c r="C50" s="51">
        <f>d-ES-Td</f>
        <v>9.7347052387511219</v>
      </c>
      <c r="D50" s="39" t="s">
        <v>4</v>
      </c>
      <c r="E50" s="35"/>
      <c r="F50" s="35"/>
      <c r="G50" s="35"/>
      <c r="H50" s="35"/>
    </row>
    <row r="51" spans="1:8" x14ac:dyDescent="0.25">
      <c r="A51" s="50" t="s">
        <v>59</v>
      </c>
      <c r="B51" s="37" t="s">
        <v>62</v>
      </c>
      <c r="C51" s="51">
        <f>d-ES</f>
        <v>9.968</v>
      </c>
      <c r="D51" s="39" t="s">
        <v>4</v>
      </c>
      <c r="E51" s="35"/>
      <c r="F51" s="35"/>
      <c r="G51" s="35"/>
      <c r="H51" s="35"/>
    </row>
    <row r="52" spans="1:8" x14ac:dyDescent="0.25">
      <c r="A52" s="50" t="s">
        <v>60</v>
      </c>
      <c r="B52" s="37" t="s">
        <v>63</v>
      </c>
      <c r="C52" s="51">
        <f>AVERAGE(C50:C51)</f>
        <v>9.8513526193755609</v>
      </c>
      <c r="D52" s="39" t="s">
        <v>4</v>
      </c>
      <c r="E52" s="35"/>
      <c r="F52" s="35"/>
      <c r="G52" s="35"/>
      <c r="H52" s="35"/>
    </row>
    <row r="53" spans="1:8" x14ac:dyDescent="0.25">
      <c r="A53" s="55"/>
      <c r="B53" s="41"/>
      <c r="C53" s="56"/>
      <c r="D53" s="43"/>
      <c r="E53" s="35"/>
      <c r="F53" s="35"/>
      <c r="G53" s="35"/>
      <c r="H53" s="35"/>
    </row>
    <row r="54" spans="1:8" x14ac:dyDescent="0.25">
      <c r="A54" s="50" t="s">
        <v>64</v>
      </c>
      <c r="B54" s="37" t="s">
        <v>67</v>
      </c>
      <c r="C54" s="57">
        <f>d2_D2-(ES+Td2_)</f>
        <v>8.8604963809039088</v>
      </c>
      <c r="D54" s="39" t="s">
        <v>4</v>
      </c>
      <c r="E54" s="35"/>
      <c r="F54" s="35"/>
      <c r="G54" s="35"/>
      <c r="H54" s="35"/>
    </row>
    <row r="55" spans="1:8" x14ac:dyDescent="0.25">
      <c r="A55" s="50" t="s">
        <v>65</v>
      </c>
      <c r="B55" s="37" t="s">
        <v>68</v>
      </c>
      <c r="C55" s="57">
        <f>d2_D2-ES</f>
        <v>8.9937500000000004</v>
      </c>
      <c r="D55" s="39" t="s">
        <v>4</v>
      </c>
      <c r="E55" s="35"/>
      <c r="F55" s="35"/>
      <c r="G55" s="35"/>
      <c r="H55" s="35"/>
    </row>
    <row r="56" spans="1:8" x14ac:dyDescent="0.25">
      <c r="A56" s="50" t="s">
        <v>66</v>
      </c>
      <c r="B56" s="37" t="s">
        <v>69</v>
      </c>
      <c r="C56" s="57">
        <f>AVERAGE(C54:C55)</f>
        <v>8.9271231904519546</v>
      </c>
      <c r="D56" s="39" t="s">
        <v>4</v>
      </c>
      <c r="E56" s="35"/>
      <c r="F56" s="35"/>
      <c r="G56" s="35"/>
      <c r="H56" s="35"/>
    </row>
    <row r="57" spans="1:8" x14ac:dyDescent="0.25">
      <c r="A57" s="55"/>
      <c r="B57" s="41"/>
      <c r="C57" s="40"/>
      <c r="D57" s="43"/>
      <c r="E57" s="35"/>
      <c r="F57" s="35"/>
      <c r="G57" s="35"/>
      <c r="H57" s="35"/>
    </row>
    <row r="58" spans="1:8" x14ac:dyDescent="0.25">
      <c r="A58" s="50" t="s">
        <v>70</v>
      </c>
      <c r="B58" s="37" t="s">
        <v>73</v>
      </c>
      <c r="C58" s="57">
        <f>D1_d1+EI</f>
        <v>8.3762500000000006</v>
      </c>
      <c r="D58" s="39" t="s">
        <v>4</v>
      </c>
      <c r="E58" s="35"/>
      <c r="F58" s="35"/>
      <c r="G58" s="35"/>
      <c r="H58" s="35"/>
    </row>
    <row r="59" spans="1:8" x14ac:dyDescent="0.25">
      <c r="A59" s="50" t="s">
        <v>71</v>
      </c>
      <c r="B59" s="37" t="s">
        <v>74</v>
      </c>
      <c r="C59" s="57">
        <f>D1_d1+EI+TD1_</f>
        <v>8.6817362851869682</v>
      </c>
      <c r="D59" s="39" t="s">
        <v>4</v>
      </c>
      <c r="E59" s="35"/>
      <c r="F59" s="35"/>
      <c r="G59" s="35"/>
      <c r="H59" s="35"/>
    </row>
    <row r="60" spans="1:8" x14ac:dyDescent="0.25">
      <c r="A60" s="50" t="s">
        <v>72</v>
      </c>
      <c r="B60" s="37" t="s">
        <v>75</v>
      </c>
      <c r="C60" s="57">
        <f>AVERAGE(C58:C59)</f>
        <v>8.5289931425934853</v>
      </c>
      <c r="D60" s="39" t="s">
        <v>4</v>
      </c>
      <c r="E60" s="35"/>
      <c r="F60" s="35"/>
      <c r="G60" s="35"/>
      <c r="H60" s="35"/>
    </row>
    <row r="61" spans="1:8" x14ac:dyDescent="0.25">
      <c r="A61" s="55"/>
      <c r="B61" s="41"/>
      <c r="C61" s="40"/>
      <c r="D61" s="43"/>
      <c r="E61" s="35"/>
      <c r="F61" s="35"/>
      <c r="G61" s="35"/>
      <c r="H61" s="35"/>
    </row>
    <row r="62" spans="1:8" x14ac:dyDescent="0.25">
      <c r="A62" s="50" t="s">
        <v>76</v>
      </c>
      <c r="B62" s="37" t="s">
        <v>79</v>
      </c>
      <c r="C62" s="57">
        <f>d2_D2+EI</f>
        <v>9.0257500000000004</v>
      </c>
      <c r="D62" s="39" t="s">
        <v>4</v>
      </c>
      <c r="E62" s="35"/>
      <c r="F62" s="35"/>
      <c r="G62" s="35"/>
      <c r="H62" s="35"/>
    </row>
    <row r="63" spans="1:8" x14ac:dyDescent="0.25">
      <c r="A63" s="50" t="s">
        <v>77</v>
      </c>
      <c r="B63" s="37" t="s">
        <v>80</v>
      </c>
      <c r="C63" s="57">
        <f>d2_D2+EI+_TD2</f>
        <v>9.2004603005926544</v>
      </c>
      <c r="D63" s="39" t="s">
        <v>4</v>
      </c>
      <c r="E63" s="35"/>
      <c r="F63" s="35"/>
      <c r="G63" s="35"/>
      <c r="H63" s="35"/>
    </row>
    <row r="64" spans="1:8" x14ac:dyDescent="0.25">
      <c r="A64" s="50" t="s">
        <v>78</v>
      </c>
      <c r="B64" s="37" t="s">
        <v>81</v>
      </c>
      <c r="C64" s="57">
        <f>AVERAGE(C62:C63)</f>
        <v>9.1131051502963274</v>
      </c>
      <c r="D64" s="39" t="s">
        <v>4</v>
      </c>
      <c r="E64" s="35"/>
      <c r="F64" s="35"/>
      <c r="G64" s="35"/>
      <c r="H64" s="35"/>
    </row>
    <row r="65" spans="1:8" x14ac:dyDescent="0.25">
      <c r="A65" s="58"/>
      <c r="B65" s="41"/>
      <c r="C65" s="40"/>
      <c r="D65" s="43"/>
      <c r="E65" s="35"/>
      <c r="F65" s="35"/>
      <c r="G65" s="35"/>
      <c r="H65" s="35"/>
    </row>
    <row r="66" spans="1:8" x14ac:dyDescent="0.25">
      <c r="A66" s="36" t="s">
        <v>26</v>
      </c>
      <c r="B66" s="37" t="s">
        <v>27</v>
      </c>
      <c r="C66" s="57">
        <f>PI()/4*((d2_D2+d3_)/2)^2</f>
        <v>57.990487733384867</v>
      </c>
      <c r="D66" s="39" t="s">
        <v>30</v>
      </c>
      <c r="E66" s="35"/>
      <c r="F66" s="35"/>
      <c r="G66" s="35"/>
      <c r="H66" s="35"/>
    </row>
    <row r="67" spans="1:8" x14ac:dyDescent="0.25">
      <c r="A67" s="35"/>
      <c r="B67" s="59"/>
      <c r="C67" s="35"/>
      <c r="D67" s="60"/>
      <c r="E67" s="35"/>
      <c r="F67" s="35"/>
      <c r="G67" s="35"/>
      <c r="H67" s="35"/>
    </row>
    <row r="68" spans="1:8" x14ac:dyDescent="0.25">
      <c r="A68" s="35" t="s">
        <v>117</v>
      </c>
      <c r="B68" s="61">
        <v>44886</v>
      </c>
      <c r="C68" s="60">
        <v>1</v>
      </c>
      <c r="D68" s="60"/>
      <c r="E68" s="35"/>
      <c r="F68" s="35"/>
      <c r="G68" s="35"/>
      <c r="H68" s="35"/>
    </row>
    <row r="69" spans="1:8" x14ac:dyDescent="0.25">
      <c r="A69" s="35"/>
      <c r="B69" s="59"/>
      <c r="C69" s="35"/>
      <c r="D69" s="60"/>
      <c r="E69" s="35"/>
      <c r="F69" s="35"/>
      <c r="G69" s="35"/>
      <c r="H69" s="35"/>
    </row>
    <row r="70" spans="1:8" x14ac:dyDescent="0.25">
      <c r="A70" s="35"/>
      <c r="B70" s="59"/>
      <c r="C70" s="35"/>
      <c r="D70" s="60"/>
      <c r="E70" s="35"/>
      <c r="F70" s="35"/>
      <c r="G70" s="35"/>
      <c r="H70" s="35"/>
    </row>
    <row r="71" spans="1:8" x14ac:dyDescent="0.25">
      <c r="A71" s="35"/>
      <c r="B71" s="59"/>
      <c r="C71" s="35"/>
      <c r="D71" s="60"/>
      <c r="E71" s="35"/>
      <c r="F71" s="35"/>
      <c r="G71" s="35"/>
      <c r="H71" s="35"/>
    </row>
    <row r="72" spans="1:8" x14ac:dyDescent="0.25">
      <c r="A72" s="35"/>
      <c r="B72" s="59"/>
      <c r="C72" s="35"/>
      <c r="D72" s="60"/>
      <c r="E72" s="35"/>
      <c r="F72" s="35"/>
      <c r="G72" s="35"/>
      <c r="H72" s="35"/>
    </row>
    <row r="73" spans="1:8" x14ac:dyDescent="0.25">
      <c r="A73" s="35"/>
      <c r="B73" s="59"/>
      <c r="C73" s="35"/>
      <c r="D73" s="60"/>
      <c r="E73" s="35"/>
      <c r="F73" s="35"/>
      <c r="G73" s="35"/>
      <c r="H73" s="35"/>
    </row>
    <row r="74" spans="1:8" x14ac:dyDescent="0.25">
      <c r="A74" s="35"/>
      <c r="B74" s="59"/>
      <c r="C74" s="35"/>
      <c r="D74" s="60"/>
      <c r="E74" s="35"/>
      <c r="F74" s="35"/>
      <c r="G74" s="35"/>
      <c r="H74" s="35"/>
    </row>
    <row r="75" spans="1:8" x14ac:dyDescent="0.25">
      <c r="A75" s="35"/>
      <c r="B75" s="59"/>
      <c r="C75" s="35"/>
      <c r="D75" s="60"/>
      <c r="E75" s="35"/>
      <c r="F75" s="35"/>
      <c r="G75" s="35"/>
      <c r="H75" s="35"/>
    </row>
    <row r="76" spans="1:8" x14ac:dyDescent="0.25">
      <c r="A76" s="35"/>
      <c r="B76" s="59"/>
      <c r="C76" s="35"/>
      <c r="D76" s="60"/>
      <c r="E76" s="35"/>
      <c r="F76" s="35"/>
      <c r="G76" s="35"/>
      <c r="H76" s="35"/>
    </row>
    <row r="77" spans="1:8" x14ac:dyDescent="0.25">
      <c r="A77" s="35"/>
      <c r="B77" s="59"/>
      <c r="C77" s="35"/>
      <c r="D77" s="60"/>
      <c r="E77" s="35"/>
      <c r="F77" s="35"/>
      <c r="G77" s="35"/>
      <c r="H77" s="35"/>
    </row>
    <row r="78" spans="1:8" x14ac:dyDescent="0.25">
      <c r="A78" s="35"/>
      <c r="B78" s="59"/>
      <c r="C78" s="35"/>
      <c r="D78" s="60"/>
      <c r="E78" s="35"/>
      <c r="F78" s="35"/>
      <c r="G78" s="35"/>
      <c r="H78" s="35"/>
    </row>
    <row r="79" spans="1:8" x14ac:dyDescent="0.25">
      <c r="A79" s="35"/>
      <c r="B79" s="59"/>
      <c r="C79" s="35"/>
      <c r="D79" s="60"/>
      <c r="E79" s="35"/>
      <c r="F79" s="35"/>
      <c r="G79" s="35"/>
      <c r="H79" s="35"/>
    </row>
    <row r="80" spans="1:8" x14ac:dyDescent="0.25">
      <c r="A80" s="35"/>
      <c r="B80" s="59"/>
      <c r="C80" s="35"/>
      <c r="D80" s="60"/>
      <c r="E80" s="35"/>
      <c r="F80" s="35"/>
      <c r="G80" s="35"/>
      <c r="H80" s="35"/>
    </row>
    <row r="81" spans="1:8" x14ac:dyDescent="0.25">
      <c r="A81" s="35"/>
      <c r="B81" s="59"/>
      <c r="C81" s="35"/>
      <c r="D81" s="60"/>
      <c r="E81" s="35"/>
      <c r="F81" s="35"/>
      <c r="G81" s="35"/>
      <c r="H81" s="35"/>
    </row>
    <row r="82" spans="1:8" x14ac:dyDescent="0.25">
      <c r="A82" s="35"/>
      <c r="B82" s="59"/>
      <c r="C82" s="35"/>
      <c r="D82" s="60"/>
      <c r="E82" s="35"/>
      <c r="F82" s="35"/>
      <c r="G82" s="35"/>
      <c r="H82" s="35"/>
    </row>
    <row r="83" spans="1:8" x14ac:dyDescent="0.25">
      <c r="A83" s="35"/>
      <c r="B83" s="59"/>
      <c r="C83" s="35"/>
      <c r="D83" s="60"/>
      <c r="E83" s="35"/>
      <c r="F83" s="35"/>
      <c r="G83" s="35"/>
      <c r="H83" s="35"/>
    </row>
    <row r="84" spans="1:8" x14ac:dyDescent="0.25">
      <c r="A84" s="35"/>
      <c r="B84" s="59"/>
      <c r="C84" s="35"/>
      <c r="D84" s="60"/>
      <c r="E84" s="35"/>
      <c r="F84" s="35"/>
      <c r="G84" s="35"/>
      <c r="H84" s="35"/>
    </row>
    <row r="85" spans="1:8" x14ac:dyDescent="0.25">
      <c r="A85" s="35"/>
      <c r="B85" s="59"/>
      <c r="C85" s="35"/>
      <c r="D85" s="60"/>
      <c r="E85" s="35"/>
      <c r="F85" s="35"/>
      <c r="G85" s="35"/>
      <c r="H85" s="35"/>
    </row>
    <row r="86" spans="1:8" x14ac:dyDescent="0.25">
      <c r="A86" s="35"/>
      <c r="B86" s="59"/>
      <c r="C86" s="35"/>
      <c r="D86" s="60"/>
      <c r="E86" s="35"/>
      <c r="F86" s="35"/>
      <c r="G86" s="35"/>
      <c r="H86" s="35"/>
    </row>
    <row r="87" spans="1:8" x14ac:dyDescent="0.25">
      <c r="A87" s="35"/>
      <c r="B87" s="59"/>
      <c r="C87" s="35"/>
      <c r="D87" s="60"/>
      <c r="E87" s="35"/>
      <c r="F87" s="35"/>
      <c r="G87" s="35"/>
      <c r="H87" s="35"/>
    </row>
    <row r="88" spans="1:8" x14ac:dyDescent="0.25">
      <c r="A88" s="35"/>
      <c r="B88" s="59"/>
      <c r="C88" s="35"/>
      <c r="D88" s="60"/>
      <c r="E88" s="35"/>
      <c r="F88" s="35"/>
      <c r="G88" s="35"/>
      <c r="H88" s="35"/>
    </row>
    <row r="89" spans="1:8" x14ac:dyDescent="0.25">
      <c r="A89" s="35"/>
      <c r="B89" s="59"/>
      <c r="C89" s="35"/>
      <c r="D89" s="60"/>
      <c r="E89" s="35"/>
      <c r="F89" s="35"/>
      <c r="G89" s="35"/>
      <c r="H89" s="35"/>
    </row>
    <row r="90" spans="1:8" x14ac:dyDescent="0.25">
      <c r="A90" s="35"/>
      <c r="B90" s="59"/>
      <c r="C90" s="35"/>
      <c r="D90" s="60"/>
      <c r="E90" s="35"/>
      <c r="F90" s="35"/>
      <c r="G90" s="35"/>
      <c r="H90" s="35"/>
    </row>
    <row r="91" spans="1:8" x14ac:dyDescent="0.25">
      <c r="A91" s="35"/>
      <c r="B91" s="59"/>
      <c r="C91" s="35"/>
      <c r="D91" s="60"/>
      <c r="E91" s="35"/>
      <c r="F91" s="35"/>
      <c r="G91" s="35"/>
      <c r="H91" s="35"/>
    </row>
    <row r="92" spans="1:8" x14ac:dyDescent="0.25">
      <c r="A92" s="35"/>
      <c r="B92" s="59"/>
      <c r="C92" s="35"/>
      <c r="D92" s="60"/>
      <c r="E92" s="35"/>
      <c r="F92" s="35"/>
      <c r="G92" s="35"/>
      <c r="H92" s="35"/>
    </row>
    <row r="93" spans="1:8" x14ac:dyDescent="0.25">
      <c r="A93" s="35"/>
      <c r="B93" s="59"/>
      <c r="C93" s="35"/>
      <c r="D93" s="60"/>
      <c r="E93" s="35"/>
      <c r="F93" s="35"/>
      <c r="G93" s="35"/>
      <c r="H93" s="35"/>
    </row>
    <row r="94" spans="1:8" x14ac:dyDescent="0.25">
      <c r="A94" s="35"/>
      <c r="B94" s="59"/>
      <c r="C94" s="35"/>
      <c r="D94" s="60"/>
      <c r="E94" s="35"/>
      <c r="F94" s="35"/>
      <c r="G94" s="35"/>
      <c r="H94" s="35"/>
    </row>
    <row r="95" spans="1:8" x14ac:dyDescent="0.25">
      <c r="A95" s="35"/>
      <c r="B95" s="36" t="s">
        <v>20</v>
      </c>
      <c r="C95" s="36" t="s">
        <v>18</v>
      </c>
      <c r="D95" s="36" t="s">
        <v>19</v>
      </c>
      <c r="E95" s="35"/>
      <c r="F95" s="35"/>
      <c r="G95" s="35"/>
      <c r="H95" s="35"/>
    </row>
    <row r="96" spans="1:8" x14ac:dyDescent="0.25">
      <c r="A96" s="35"/>
      <c r="B96" s="62" t="s">
        <v>15</v>
      </c>
      <c r="C96" s="62">
        <f>IF(d&gt;16,660,640)</f>
        <v>640</v>
      </c>
      <c r="D96" s="36">
        <f>IF(d&gt;16,830,800)</f>
        <v>800</v>
      </c>
      <c r="E96" s="35"/>
      <c r="F96" s="35"/>
      <c r="G96" s="35"/>
      <c r="H96" s="35"/>
    </row>
    <row r="97" spans="1:8" x14ac:dyDescent="0.25">
      <c r="A97" s="35"/>
      <c r="B97" s="62" t="s">
        <v>16</v>
      </c>
      <c r="C97" s="62">
        <v>940</v>
      </c>
      <c r="D97" s="36">
        <v>1040</v>
      </c>
      <c r="E97" s="35"/>
      <c r="F97" s="35"/>
      <c r="G97" s="35"/>
      <c r="H97" s="35"/>
    </row>
    <row r="98" spans="1:8" x14ac:dyDescent="0.25">
      <c r="A98" s="35"/>
      <c r="B98" s="62" t="s">
        <v>17</v>
      </c>
      <c r="C98" s="62">
        <v>1100</v>
      </c>
      <c r="D98" s="36">
        <v>1220</v>
      </c>
      <c r="E98" s="35"/>
      <c r="F98" s="35"/>
      <c r="G98" s="35"/>
      <c r="H98" s="35"/>
    </row>
    <row r="99" spans="1:8" x14ac:dyDescent="0.25">
      <c r="A99" s="35"/>
      <c r="B99" s="40"/>
      <c r="C99" s="40"/>
      <c r="D99" s="40"/>
      <c r="E99" s="35"/>
      <c r="F99" s="35"/>
      <c r="G99" s="35"/>
      <c r="H99" s="35"/>
    </row>
    <row r="100" spans="1:8" x14ac:dyDescent="0.25">
      <c r="A100" s="35"/>
      <c r="B100" s="36" t="s">
        <v>0</v>
      </c>
      <c r="C100" s="36" t="s">
        <v>21</v>
      </c>
      <c r="D100" s="36" t="s">
        <v>22</v>
      </c>
      <c r="E100" s="35"/>
      <c r="F100" s="35"/>
      <c r="G100" s="35"/>
      <c r="H100" s="35"/>
    </row>
    <row r="101" spans="1:8" x14ac:dyDescent="0.25">
      <c r="A101" s="35"/>
      <c r="B101" s="63">
        <v>5</v>
      </c>
      <c r="C101" s="63">
        <v>0.8</v>
      </c>
      <c r="D101" s="36" t="s">
        <v>94</v>
      </c>
      <c r="E101" s="35"/>
      <c r="F101" s="35"/>
      <c r="G101" s="35"/>
      <c r="H101" s="35"/>
    </row>
    <row r="102" spans="1:8" x14ac:dyDescent="0.25">
      <c r="A102" s="35"/>
      <c r="B102" s="63">
        <v>6</v>
      </c>
      <c r="C102" s="63">
        <v>1</v>
      </c>
      <c r="D102" s="36">
        <v>0.75</v>
      </c>
      <c r="E102" s="35"/>
      <c r="F102" s="35"/>
      <c r="G102" s="35"/>
      <c r="H102" s="35"/>
    </row>
    <row r="103" spans="1:8" x14ac:dyDescent="0.25">
      <c r="A103" s="35"/>
      <c r="B103" s="63">
        <v>8</v>
      </c>
      <c r="C103" s="63">
        <v>1.25</v>
      </c>
      <c r="D103" s="36">
        <v>1</v>
      </c>
      <c r="E103" s="35"/>
      <c r="F103" s="35"/>
      <c r="G103" s="35"/>
      <c r="H103" s="35"/>
    </row>
    <row r="104" spans="1:8" x14ac:dyDescent="0.25">
      <c r="A104" s="35"/>
      <c r="B104" s="63">
        <v>10</v>
      </c>
      <c r="C104" s="63">
        <v>1.5</v>
      </c>
      <c r="D104" s="36">
        <v>1.25</v>
      </c>
      <c r="E104" s="35"/>
      <c r="F104" s="35"/>
      <c r="G104" s="35"/>
      <c r="H104" s="35"/>
    </row>
    <row r="105" spans="1:8" x14ac:dyDescent="0.25">
      <c r="A105" s="35"/>
      <c r="B105" s="63">
        <v>12</v>
      </c>
      <c r="C105" s="63">
        <v>1.75</v>
      </c>
      <c r="D105" s="36">
        <v>1.5</v>
      </c>
      <c r="E105" s="35"/>
      <c r="F105" s="35"/>
      <c r="G105" s="35"/>
      <c r="H105" s="35"/>
    </row>
    <row r="106" spans="1:8" x14ac:dyDescent="0.25">
      <c r="A106" s="35"/>
      <c r="B106" s="63">
        <v>16</v>
      </c>
      <c r="C106" s="63">
        <v>2</v>
      </c>
      <c r="D106" s="36">
        <v>1.5</v>
      </c>
      <c r="E106" s="35"/>
      <c r="F106" s="35"/>
      <c r="G106" s="35"/>
      <c r="H106" s="35"/>
    </row>
    <row r="107" spans="1:8" x14ac:dyDescent="0.25">
      <c r="A107" s="35"/>
      <c r="B107" s="63">
        <v>20</v>
      </c>
      <c r="C107" s="63">
        <v>2.5</v>
      </c>
      <c r="D107" s="36">
        <v>2</v>
      </c>
      <c r="E107" s="35"/>
      <c r="F107" s="35"/>
      <c r="G107" s="35"/>
      <c r="H107" s="35"/>
    </row>
    <row r="108" spans="1:8" x14ac:dyDescent="0.25">
      <c r="A108" s="35"/>
      <c r="B108" s="63">
        <v>24</v>
      </c>
      <c r="C108" s="63">
        <v>3</v>
      </c>
      <c r="D108" s="36">
        <v>2</v>
      </c>
      <c r="E108" s="35"/>
      <c r="F108" s="35"/>
      <c r="G108" s="35"/>
      <c r="H108" s="35"/>
    </row>
    <row r="109" spans="1:8" x14ac:dyDescent="0.25">
      <c r="A109" s="35"/>
      <c r="B109" s="63">
        <v>30</v>
      </c>
      <c r="C109" s="63">
        <v>3.5</v>
      </c>
      <c r="D109" s="36">
        <v>2</v>
      </c>
      <c r="E109" s="35"/>
      <c r="F109" s="35"/>
      <c r="G109" s="35"/>
      <c r="H109" s="35"/>
    </row>
    <row r="110" spans="1:8" x14ac:dyDescent="0.25">
      <c r="A110" s="35"/>
      <c r="B110" s="63">
        <v>36</v>
      </c>
      <c r="C110" s="63">
        <v>4</v>
      </c>
      <c r="D110" s="36">
        <v>3</v>
      </c>
      <c r="E110" s="35"/>
      <c r="F110" s="35"/>
      <c r="G110" s="35"/>
      <c r="H110" s="35"/>
    </row>
    <row r="111" spans="1:8" x14ac:dyDescent="0.25">
      <c r="A111" s="35"/>
      <c r="B111" s="59"/>
      <c r="C111" s="35"/>
      <c r="D111" s="60"/>
      <c r="E111" s="35"/>
      <c r="F111" s="35"/>
      <c r="G111" s="35"/>
      <c r="H111" s="35"/>
    </row>
    <row r="112" spans="1:8" x14ac:dyDescent="0.25">
      <c r="A112" s="35"/>
      <c r="B112" s="59"/>
      <c r="C112" s="35"/>
      <c r="D112" s="60"/>
      <c r="E112" s="35"/>
      <c r="F112" s="35"/>
      <c r="G112" s="35"/>
      <c r="H112" s="35"/>
    </row>
    <row r="113" spans="1:8" x14ac:dyDescent="0.25">
      <c r="A113" s="35"/>
      <c r="B113" s="59" t="s">
        <v>106</v>
      </c>
      <c r="C113" s="35"/>
      <c r="D113" s="60" t="s">
        <v>109</v>
      </c>
      <c r="E113" s="35"/>
      <c r="F113" s="35"/>
      <c r="G113" s="35"/>
      <c r="H113" s="35"/>
    </row>
    <row r="114" spans="1:8" x14ac:dyDescent="0.25">
      <c r="A114" s="35"/>
      <c r="B114" s="41">
        <v>3</v>
      </c>
      <c r="C114" s="40" t="s">
        <v>107</v>
      </c>
      <c r="D114" s="41">
        <v>3</v>
      </c>
      <c r="E114" s="40" t="s">
        <v>110</v>
      </c>
      <c r="F114" s="35"/>
      <c r="G114" s="35"/>
      <c r="H114" s="35"/>
    </row>
    <row r="115" spans="1:8" x14ac:dyDescent="0.25">
      <c r="A115" s="35"/>
      <c r="B115" s="41">
        <v>4</v>
      </c>
      <c r="C115" s="40" t="s">
        <v>114</v>
      </c>
      <c r="D115" s="41">
        <v>4</v>
      </c>
      <c r="E115" s="35" t="s">
        <v>11</v>
      </c>
      <c r="F115" s="35"/>
      <c r="G115" s="35"/>
      <c r="H115" s="35"/>
    </row>
    <row r="116" spans="1:8" x14ac:dyDescent="0.25">
      <c r="A116" s="35"/>
      <c r="B116" s="41">
        <v>5</v>
      </c>
      <c r="C116" s="35" t="s">
        <v>8</v>
      </c>
      <c r="D116" s="41">
        <v>5</v>
      </c>
      <c r="E116" s="35"/>
      <c r="F116" s="35"/>
      <c r="G116" s="35"/>
      <c r="H116" s="35"/>
    </row>
    <row r="117" spans="1:8" x14ac:dyDescent="0.25">
      <c r="A117" s="35"/>
      <c r="B117" s="59">
        <v>6</v>
      </c>
      <c r="C117" s="40" t="s">
        <v>108</v>
      </c>
      <c r="D117" s="59">
        <v>6</v>
      </c>
      <c r="E117" s="35"/>
      <c r="F117" s="35"/>
      <c r="G117" s="35"/>
      <c r="H117" s="35"/>
    </row>
    <row r="118" spans="1:8" x14ac:dyDescent="0.25">
      <c r="A118" s="35"/>
      <c r="B118" s="41">
        <v>7</v>
      </c>
      <c r="C118" s="35"/>
      <c r="D118" s="41">
        <v>7</v>
      </c>
      <c r="E118" s="35"/>
      <c r="F118" s="35"/>
      <c r="G118" s="35"/>
      <c r="H118" s="35"/>
    </row>
    <row r="119" spans="1:8" x14ac:dyDescent="0.25">
      <c r="A119" s="35"/>
      <c r="B119" s="41">
        <v>8</v>
      </c>
      <c r="C119" s="35"/>
      <c r="D119" s="41">
        <v>8</v>
      </c>
      <c r="E119" s="35"/>
      <c r="F119" s="35"/>
      <c r="G119" s="35"/>
      <c r="H119" s="35"/>
    </row>
  </sheetData>
  <sheetProtection sheet="1" objects="1" scenarios="1" selectLockedCells="1"/>
  <dataConsolidate/>
  <mergeCells count="14">
    <mergeCell ref="B4:D4"/>
    <mergeCell ref="A14:D14"/>
    <mergeCell ref="A1:D1"/>
    <mergeCell ref="A2:D2"/>
    <mergeCell ref="A9:D9"/>
    <mergeCell ref="B10:D10"/>
    <mergeCell ref="B11:D11"/>
    <mergeCell ref="A16:D16"/>
    <mergeCell ref="A20:D20"/>
    <mergeCell ref="A21:D21"/>
    <mergeCell ref="A22:D22"/>
    <mergeCell ref="B6:D6"/>
    <mergeCell ref="B7:D7"/>
    <mergeCell ref="B8:D8"/>
  </mergeCells>
  <phoneticPr fontId="1" type="noConversion"/>
  <conditionalFormatting sqref="A20:D21">
    <cfRule type="expression" dxfId="1" priority="1">
      <formula>$C$17&lt;MIN($C$18:$C$19)</formula>
    </cfRule>
    <cfRule type="expression" dxfId="0" priority="2">
      <formula>$C$17&gt;MIN($C$18:$C$19)</formula>
    </cfRule>
  </conditionalFormatting>
  <dataValidations count="7">
    <dataValidation type="list" allowBlank="1" showInputMessage="1" showErrorMessage="1" sqref="B8:D8" xr:uid="{D2E3C695-ED54-4C50-80E3-2FC1A6A132B9}">
      <formula1>$B$96:$B$98</formula1>
    </dataValidation>
    <dataValidation type="list" allowBlank="1" showInputMessage="1" showErrorMessage="1" sqref="C3" xr:uid="{71A73000-877E-42D4-B1A8-1793EF224DC9}">
      <formula1>$B$101:$B$110</formula1>
    </dataValidation>
    <dataValidation type="list" allowBlank="1" showInputMessage="1" showErrorMessage="1" sqref="B4:D4" xr:uid="{3C8DDD76-9E59-4877-B888-D797CF6DF3DC}">
      <formula1>$C$100:$D$100</formula1>
    </dataValidation>
    <dataValidation type="list" allowBlank="1" showInputMessage="1" showErrorMessage="1" sqref="B6:D6" xr:uid="{B3E0E55B-1696-47E2-A98C-925CF0F88144}">
      <formula1>$B$117</formula1>
    </dataValidation>
    <dataValidation type="list" allowBlank="1" showInputMessage="1" showErrorMessage="1" sqref="B7:D7" xr:uid="{BA5E5274-CFCA-4558-A147-42DB2F8E955A}">
      <formula1>$C$116</formula1>
    </dataValidation>
    <dataValidation type="list" allowBlank="1" showInputMessage="1" showErrorMessage="1" sqref="B10:D10" xr:uid="{75CE3320-A0F9-4FF5-8390-AF695478661F}">
      <formula1>$D$117</formula1>
    </dataValidation>
    <dataValidation type="list" allowBlank="1" showInputMessage="1" showErrorMessage="1" sqref="B11:D11" xr:uid="{2DC3B693-3AC1-4807-A069-9C0BE579B9FF}">
      <formula1>$E$115</formula1>
    </dataValidation>
  </dataValidations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1</vt:i4>
      </vt:variant>
      <vt:variant>
        <vt:lpstr>Plages nommées</vt:lpstr>
      </vt:variant>
      <vt:variant>
        <vt:i4>45</vt:i4>
      </vt:variant>
    </vt:vector>
  </HeadingPairs>
  <TitlesOfParts>
    <vt:vector size="46" baseType="lpstr">
      <vt:lpstr>Arrachement</vt:lpstr>
      <vt:lpstr>_C1</vt:lpstr>
      <vt:lpstr>_C2</vt:lpstr>
      <vt:lpstr>_C3</vt:lpstr>
      <vt:lpstr>_D2_max</vt:lpstr>
      <vt:lpstr>_D2_min</vt:lpstr>
      <vt:lpstr>_D2_moy</vt:lpstr>
      <vt:lpstr>_TD2</vt:lpstr>
      <vt:lpstr>As_nom</vt:lpstr>
      <vt:lpstr>Asb</vt:lpstr>
      <vt:lpstr>Ast</vt:lpstr>
      <vt:lpstr>Cq_vis</vt:lpstr>
      <vt:lpstr>d</vt:lpstr>
      <vt:lpstr>d_max</vt:lpstr>
      <vt:lpstr>d_min</vt:lpstr>
      <vt:lpstr>d_moy</vt:lpstr>
      <vt:lpstr>D1_d1</vt:lpstr>
      <vt:lpstr>D1_max</vt:lpstr>
      <vt:lpstr>D1_min</vt:lpstr>
      <vt:lpstr>D1_moy</vt:lpstr>
      <vt:lpstr>d2_D2</vt:lpstr>
      <vt:lpstr>d2_max</vt:lpstr>
      <vt:lpstr>d2_min</vt:lpstr>
      <vt:lpstr>d2_moy</vt:lpstr>
      <vt:lpstr>d3_</vt:lpstr>
      <vt:lpstr>Da</vt:lpstr>
      <vt:lpstr>EI</vt:lpstr>
      <vt:lpstr>ES</vt:lpstr>
      <vt:lpstr>et</vt:lpstr>
      <vt:lpstr>ev</vt:lpstr>
      <vt:lpstr>kt</vt:lpstr>
      <vt:lpstr>kv</vt:lpstr>
      <vt:lpstr>Lt_eff</vt:lpstr>
      <vt:lpstr>P</vt:lpstr>
      <vt:lpstr>qf</vt:lpstr>
      <vt:lpstr>qft</vt:lpstr>
      <vt:lpstr>qfv</vt:lpstr>
      <vt:lpstr>Re_vis</vt:lpstr>
      <vt:lpstr>Rm_t</vt:lpstr>
      <vt:lpstr>Rm_vis</vt:lpstr>
      <vt:lpstr>RꞆ</vt:lpstr>
      <vt:lpstr>Ꞇb</vt:lpstr>
      <vt:lpstr>Td</vt:lpstr>
      <vt:lpstr>TD1_</vt:lpstr>
      <vt:lpstr>Td2_</vt:lpstr>
      <vt:lpstr>Ꞇt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Alexandre Perrier</dc:creator>
  <cp:lastModifiedBy>Alexandre Perrier</cp:lastModifiedBy>
  <dcterms:created xsi:type="dcterms:W3CDTF">2022-11-19T09:20:22Z</dcterms:created>
  <dcterms:modified xsi:type="dcterms:W3CDTF">2022-11-21T13:59:42Z</dcterms:modified>
</cp:coreProperties>
</file>